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alans\Desktop\AGAIN UPDATES\ФЭМ предполагаемых проектов с предварительными показателями для ознакомления\ФЭМ предполагаемых проектов с предварительными показателями для ознакомления\"/>
    </mc:Choice>
  </mc:AlternateContent>
  <xr:revisionPtr revIDLastSave="0" documentId="13_ncr:1_{010527FE-BB62-46C0-BEB1-4EE1BB217A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PEX" sheetId="5" r:id="rId1"/>
    <sheet name="OPEX" sheetId="1" r:id="rId2"/>
    <sheet name="Оборудование" sheetId="2" r:id="rId3"/>
    <sheet name="Штатное расписание" sheetId="3" r:id="rId4"/>
    <sheet name="Продукция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K36" i="1" l="1"/>
  <c r="AJ36" i="1"/>
  <c r="AJ32" i="1"/>
  <c r="AJ31" i="1"/>
  <c r="AJ30" i="1"/>
  <c r="AJ29" i="1"/>
  <c r="AJ28" i="1"/>
  <c r="AJ27" i="1"/>
  <c r="AJ26" i="1"/>
  <c r="AJ25" i="1"/>
  <c r="AJ24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5" i="1"/>
  <c r="AJ6" i="1"/>
  <c r="AJ7" i="1"/>
  <c r="AJ4" i="1"/>
  <c r="AC32" i="1"/>
  <c r="AB32" i="1"/>
  <c r="AA32" i="1"/>
  <c r="Z32" i="1"/>
  <c r="Y32" i="1"/>
  <c r="X32" i="1"/>
  <c r="AC30" i="1"/>
  <c r="AB30" i="1"/>
  <c r="AA30" i="1"/>
  <c r="Z30" i="1"/>
  <c r="Y30" i="1"/>
  <c r="X30" i="1"/>
  <c r="AC28" i="1"/>
  <c r="AB28" i="1"/>
  <c r="AA28" i="1"/>
  <c r="Z28" i="1"/>
  <c r="Y28" i="1"/>
  <c r="X28" i="1"/>
  <c r="AC27" i="1"/>
  <c r="AB27" i="1"/>
  <c r="AA27" i="1"/>
  <c r="Z27" i="1"/>
  <c r="Y27" i="1"/>
  <c r="X27" i="1"/>
  <c r="AC26" i="1"/>
  <c r="AB26" i="1"/>
  <c r="AA26" i="1"/>
  <c r="Z26" i="1"/>
  <c r="Y26" i="1"/>
  <c r="X26" i="1"/>
  <c r="AC24" i="1"/>
  <c r="AB24" i="1"/>
  <c r="AA24" i="1"/>
  <c r="Z24" i="1"/>
  <c r="Y24" i="1"/>
  <c r="X24" i="1"/>
  <c r="AC7" i="1"/>
  <c r="AB7" i="1"/>
  <c r="AA7" i="1"/>
  <c r="Z7" i="1"/>
  <c r="Y7" i="1"/>
  <c r="X7" i="1"/>
  <c r="AF28" i="1" l="1"/>
  <c r="AE28" i="1"/>
  <c r="AD28" i="1"/>
  <c r="W28" i="1"/>
  <c r="V28" i="1"/>
  <c r="U28" i="1"/>
  <c r="AF27" i="1"/>
  <c r="AE27" i="1"/>
  <c r="AD27" i="1"/>
  <c r="W27" i="1"/>
  <c r="V27" i="1"/>
  <c r="U27" i="1"/>
  <c r="AI36" i="1" l="1"/>
  <c r="AG27" i="1"/>
  <c r="AG28" i="1"/>
  <c r="C37" i="1"/>
  <c r="C36" i="1"/>
  <c r="G30" i="2" l="1"/>
  <c r="F30" i="2" s="1"/>
  <c r="AN36" i="1" l="1"/>
  <c r="G5" i="2"/>
  <c r="F5" i="2" s="1"/>
  <c r="G6" i="2"/>
  <c r="F6" i="2" s="1"/>
  <c r="G7" i="2"/>
  <c r="F7" i="2" s="1"/>
  <c r="G8" i="2"/>
  <c r="F8" i="2" s="1"/>
  <c r="G9" i="2"/>
  <c r="F9" i="2" s="1"/>
  <c r="G13" i="2"/>
  <c r="F13" i="2" s="1"/>
  <c r="G14" i="2"/>
  <c r="F14" i="2" s="1"/>
  <c r="G15" i="2"/>
  <c r="F15" i="2" s="1"/>
  <c r="G16" i="2"/>
  <c r="F16" i="2" s="1"/>
  <c r="G17" i="2"/>
  <c r="F17" i="2" s="1"/>
  <c r="G18" i="2"/>
  <c r="F18" i="2" s="1"/>
  <c r="G22" i="2"/>
  <c r="F22" i="2" s="1"/>
  <c r="G23" i="2"/>
  <c r="F23" i="2" s="1"/>
  <c r="G24" i="2"/>
  <c r="F24" i="2" s="1"/>
  <c r="G25" i="2"/>
  <c r="F25" i="2" s="1"/>
  <c r="G26" i="2"/>
  <c r="F26" i="2" s="1"/>
  <c r="G34" i="2"/>
  <c r="F34" i="2" s="1"/>
  <c r="G35" i="2"/>
  <c r="F35" i="2" s="1"/>
  <c r="G36" i="2"/>
  <c r="F36" i="2" s="1"/>
  <c r="G37" i="2"/>
  <c r="F37" i="2" s="1"/>
  <c r="G38" i="2"/>
  <c r="F38" i="2" s="1"/>
  <c r="G39" i="2"/>
  <c r="F39" i="2" s="1"/>
  <c r="G40" i="2"/>
  <c r="F40" i="2" s="1"/>
  <c r="G41" i="2"/>
  <c r="F41" i="2" s="1"/>
  <c r="G42" i="2"/>
  <c r="F42" i="2" s="1"/>
  <c r="G59" i="2" l="1"/>
  <c r="F59" i="2" s="1"/>
  <c r="AN37" i="1" l="1"/>
  <c r="G4" i="2" l="1"/>
  <c r="F4" i="2" s="1"/>
  <c r="AI5" i="1" l="1"/>
  <c r="AI6" i="1"/>
  <c r="AI8" i="1"/>
  <c r="AI9" i="1"/>
  <c r="AI10" i="1"/>
  <c r="AI11" i="1"/>
  <c r="AI12" i="1"/>
  <c r="AI13" i="1"/>
  <c r="AI15" i="1"/>
  <c r="AI16" i="1"/>
  <c r="AI17" i="1"/>
  <c r="AI22" i="1"/>
  <c r="AI4" i="1"/>
  <c r="AK15" i="1" l="1"/>
  <c r="AL15" i="1" s="1"/>
  <c r="AM15" i="1" s="1"/>
  <c r="AK13" i="1"/>
  <c r="AL13" i="1" s="1"/>
  <c r="AM13" i="1" s="1"/>
  <c r="AK5" i="1"/>
  <c r="AL5" i="1" s="1"/>
  <c r="AM5" i="1" s="1"/>
  <c r="AK10" i="1"/>
  <c r="AL10" i="1" s="1"/>
  <c r="AM10" i="1" s="1"/>
  <c r="AK16" i="1"/>
  <c r="AL16" i="1" s="1"/>
  <c r="AM16" i="1" s="1"/>
  <c r="AK11" i="1"/>
  <c r="AL11" i="1" s="1"/>
  <c r="AM11" i="1" s="1"/>
  <c r="AK22" i="1"/>
  <c r="AL22" i="1" s="1"/>
  <c r="AM22" i="1" s="1"/>
  <c r="AK9" i="1"/>
  <c r="AL9" i="1" s="1"/>
  <c r="AM9" i="1" s="1"/>
  <c r="AK6" i="1"/>
  <c r="AL6" i="1" s="1"/>
  <c r="AM6" i="1" s="1"/>
  <c r="AK12" i="1"/>
  <c r="AL12" i="1" s="1"/>
  <c r="AM12" i="1" s="1"/>
  <c r="AN12" i="1" s="1"/>
  <c r="AK4" i="1"/>
  <c r="AL4" i="1" s="1"/>
  <c r="AM4" i="1" s="1"/>
  <c r="AK17" i="1"/>
  <c r="AL17" i="1" s="1"/>
  <c r="AM17" i="1" s="1"/>
  <c r="AK8" i="1"/>
  <c r="AL8" i="1" s="1"/>
  <c r="AM8" i="1" s="1"/>
  <c r="C17" i="5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3" i="3"/>
  <c r="C27" i="2"/>
  <c r="C43" i="2"/>
  <c r="C52" i="2"/>
  <c r="C72" i="2"/>
  <c r="C68" i="2"/>
  <c r="C57" i="2"/>
  <c r="C60" i="2"/>
  <c r="C63" i="2"/>
  <c r="G71" i="2"/>
  <c r="F71" i="2" s="1"/>
  <c r="G70" i="2"/>
  <c r="F70" i="2" s="1"/>
  <c r="G66" i="2"/>
  <c r="F66" i="2" s="1"/>
  <c r="G67" i="2"/>
  <c r="F67" i="2" s="1"/>
  <c r="G65" i="2"/>
  <c r="F65" i="2" s="1"/>
  <c r="G62" i="2"/>
  <c r="G60" i="2"/>
  <c r="F60" i="2" s="1"/>
  <c r="G55" i="2"/>
  <c r="F55" i="2" s="1"/>
  <c r="G56" i="2"/>
  <c r="F56" i="2" s="1"/>
  <c r="G54" i="2"/>
  <c r="F54" i="2" s="1"/>
  <c r="G46" i="2"/>
  <c r="F46" i="2" s="1"/>
  <c r="G47" i="2"/>
  <c r="F47" i="2" s="1"/>
  <c r="G48" i="2"/>
  <c r="F48" i="2" s="1"/>
  <c r="G49" i="2"/>
  <c r="F49" i="2" s="1"/>
  <c r="G50" i="2"/>
  <c r="F50" i="2" s="1"/>
  <c r="G51" i="2"/>
  <c r="F51" i="2" s="1"/>
  <c r="G45" i="2"/>
  <c r="F45" i="2" s="1"/>
  <c r="G33" i="2"/>
  <c r="F33" i="2" s="1"/>
  <c r="C17" i="1"/>
  <c r="G29" i="2"/>
  <c r="G31" i="2" s="1"/>
  <c r="G21" i="2"/>
  <c r="F21" i="2" s="1"/>
  <c r="C19" i="2"/>
  <c r="C10" i="2"/>
  <c r="G12" i="2"/>
  <c r="F12" i="2" s="1"/>
  <c r="D46" i="3"/>
  <c r="AN10" i="1" l="1"/>
  <c r="F31" i="2"/>
  <c r="F29" i="2"/>
  <c r="G63" i="2"/>
  <c r="F63" i="2" s="1"/>
  <c r="F62" i="2"/>
  <c r="AN8" i="1"/>
  <c r="AN17" i="1"/>
  <c r="AN11" i="1"/>
  <c r="AN9" i="1"/>
  <c r="AN4" i="1"/>
  <c r="AN13" i="1"/>
  <c r="AN22" i="1"/>
  <c r="AN5" i="1"/>
  <c r="AN6" i="1"/>
  <c r="AN16" i="1"/>
  <c r="AN15" i="1"/>
  <c r="F46" i="3"/>
  <c r="C73" i="2"/>
  <c r="G68" i="2"/>
  <c r="F68" i="2" s="1"/>
  <c r="G19" i="2"/>
  <c r="F19" i="2" s="1"/>
  <c r="G10" i="2"/>
  <c r="F10" i="2" s="1"/>
  <c r="G72" i="2"/>
  <c r="F72" i="2" s="1"/>
  <c r="G57" i="2"/>
  <c r="F57" i="2" s="1"/>
  <c r="G52" i="2"/>
  <c r="F52" i="2" s="1"/>
  <c r="G43" i="2"/>
  <c r="F43" i="2" s="1"/>
  <c r="G27" i="2"/>
  <c r="F27" i="2" s="1"/>
  <c r="AE7" i="1" l="1"/>
  <c r="AD7" i="1"/>
  <c r="W7" i="1"/>
  <c r="U7" i="1"/>
  <c r="AF7" i="1"/>
  <c r="V7" i="1"/>
  <c r="AG7" i="1"/>
  <c r="G7" i="1"/>
  <c r="E7" i="1"/>
  <c r="D7" i="1"/>
  <c r="F7" i="1"/>
  <c r="F73" i="2"/>
  <c r="O7" i="1"/>
  <c r="N7" i="1"/>
  <c r="M7" i="1"/>
  <c r="L7" i="1"/>
  <c r="T7" i="1"/>
  <c r="P7" i="1"/>
  <c r="S7" i="1"/>
  <c r="Q7" i="1"/>
  <c r="R7" i="1"/>
  <c r="H7" i="1"/>
  <c r="K7" i="1"/>
  <c r="J7" i="1"/>
  <c r="I7" i="1"/>
  <c r="G73" i="2"/>
  <c r="G4" i="5" l="1"/>
  <c r="F4" i="5"/>
  <c r="D4" i="5"/>
  <c r="AI7" i="1"/>
  <c r="AK18" i="1" l="1"/>
  <c r="AL18" i="1" s="1"/>
  <c r="AM18" i="1" s="1"/>
  <c r="AI19" i="1"/>
  <c r="C19" i="1"/>
  <c r="AI18" i="1"/>
  <c r="C18" i="1"/>
  <c r="AK19" i="1"/>
  <c r="AL19" i="1" s="1"/>
  <c r="AM19" i="1" s="1"/>
  <c r="AK7" i="1"/>
  <c r="AN18" i="1" l="1"/>
  <c r="AN19" i="1"/>
  <c r="AL7" i="1"/>
  <c r="H13" i="4"/>
  <c r="E13" i="4"/>
  <c r="I13" i="4" s="1"/>
  <c r="F13" i="4"/>
  <c r="J13" i="4" s="1"/>
  <c r="C10" i="5"/>
  <c r="C11" i="5"/>
  <c r="C21" i="5"/>
  <c r="C20" i="5"/>
  <c r="C19" i="5"/>
  <c r="C18" i="5"/>
  <c r="C14" i="5"/>
  <c r="C13" i="5"/>
  <c r="C12" i="5"/>
  <c r="C9" i="5"/>
  <c r="C8" i="5"/>
  <c r="C7" i="5"/>
  <c r="C6" i="5"/>
  <c r="C5" i="5"/>
  <c r="C4" i="5"/>
  <c r="H4" i="4"/>
  <c r="H5" i="4"/>
  <c r="H6" i="4"/>
  <c r="H7" i="4"/>
  <c r="H8" i="4"/>
  <c r="H9" i="4"/>
  <c r="H10" i="4"/>
  <c r="H11" i="4"/>
  <c r="H12" i="4"/>
  <c r="H3" i="4"/>
  <c r="AG32" i="1" l="1"/>
  <c r="AE32" i="1"/>
  <c r="W32" i="1"/>
  <c r="AD32" i="1"/>
  <c r="V32" i="1"/>
  <c r="U32" i="1"/>
  <c r="AF32" i="1"/>
  <c r="G15" i="5"/>
  <c r="F15" i="5"/>
  <c r="G16" i="5"/>
  <c r="J32" i="1"/>
  <c r="I32" i="1"/>
  <c r="K32" i="1"/>
  <c r="L32" i="1"/>
  <c r="Q32" i="1"/>
  <c r="M32" i="1"/>
  <c r="N32" i="1"/>
  <c r="O32" i="1"/>
  <c r="P32" i="1"/>
  <c r="H32" i="1"/>
  <c r="S32" i="1"/>
  <c r="T32" i="1"/>
  <c r="R32" i="1"/>
  <c r="H16" i="5"/>
  <c r="H3" i="5" s="1"/>
  <c r="AM7" i="1"/>
  <c r="AN7" i="1" s="1"/>
  <c r="G32" i="1"/>
  <c r="F32" i="1"/>
  <c r="E32" i="1"/>
  <c r="D32" i="1"/>
  <c r="E3" i="5"/>
  <c r="I3" i="5"/>
  <c r="H14" i="4"/>
  <c r="E8" i="4"/>
  <c r="I8" i="4" s="1"/>
  <c r="F8" i="4"/>
  <c r="J8" i="4" s="1"/>
  <c r="E9" i="4"/>
  <c r="I9" i="4" s="1"/>
  <c r="F9" i="4"/>
  <c r="J9" i="4" s="1"/>
  <c r="E10" i="4"/>
  <c r="I10" i="4" s="1"/>
  <c r="F10" i="4"/>
  <c r="J10" i="4" s="1"/>
  <c r="E11" i="4"/>
  <c r="I11" i="4" s="1"/>
  <c r="F11" i="4"/>
  <c r="J11" i="4" s="1"/>
  <c r="E12" i="4"/>
  <c r="I12" i="4" s="1"/>
  <c r="F12" i="4"/>
  <c r="J12" i="4" s="1"/>
  <c r="E7" i="4"/>
  <c r="I7" i="4" s="1"/>
  <c r="F7" i="4"/>
  <c r="J7" i="4" s="1"/>
  <c r="AB25" i="1" l="1"/>
  <c r="Z25" i="1"/>
  <c r="AA25" i="1"/>
  <c r="Y25" i="1"/>
  <c r="X25" i="1"/>
  <c r="AC25" i="1"/>
  <c r="Z31" i="1"/>
  <c r="AC31" i="1"/>
  <c r="AB31" i="1"/>
  <c r="AA31" i="1"/>
  <c r="Y31" i="1"/>
  <c r="X31" i="1"/>
  <c r="AG29" i="1"/>
  <c r="AC29" i="1"/>
  <c r="AB29" i="1"/>
  <c r="AA29" i="1"/>
  <c r="AA23" i="1" s="1"/>
  <c r="Z29" i="1"/>
  <c r="Y29" i="1"/>
  <c r="X29" i="1"/>
  <c r="AF29" i="1"/>
  <c r="W29" i="1"/>
  <c r="AE29" i="1"/>
  <c r="V29" i="1"/>
  <c r="AD29" i="1"/>
  <c r="U29" i="1"/>
  <c r="AG26" i="1"/>
  <c r="AD26" i="1"/>
  <c r="W26" i="1"/>
  <c r="U26" i="1"/>
  <c r="AF26" i="1"/>
  <c r="V26" i="1"/>
  <c r="AE26" i="1"/>
  <c r="AD25" i="1"/>
  <c r="W25" i="1"/>
  <c r="V25" i="1"/>
  <c r="U25" i="1"/>
  <c r="AE25" i="1"/>
  <c r="AF25" i="1"/>
  <c r="AK32" i="1"/>
  <c r="AL32" i="1" s="1"/>
  <c r="AM32" i="1" s="1"/>
  <c r="AG31" i="1"/>
  <c r="AD31" i="1"/>
  <c r="U31" i="1"/>
  <c r="W31" i="1"/>
  <c r="AE31" i="1"/>
  <c r="V31" i="1"/>
  <c r="AF31" i="1"/>
  <c r="AG25" i="1"/>
  <c r="D25" i="1"/>
  <c r="F25" i="1"/>
  <c r="G25" i="1"/>
  <c r="H25" i="1"/>
  <c r="E25" i="1"/>
  <c r="D26" i="1"/>
  <c r="J27" i="1"/>
  <c r="K27" i="1"/>
  <c r="L27" i="1"/>
  <c r="M27" i="1"/>
  <c r="N27" i="1"/>
  <c r="O27" i="1"/>
  <c r="I27" i="1"/>
  <c r="P27" i="1"/>
  <c r="Q27" i="1"/>
  <c r="T27" i="1"/>
  <c r="R27" i="1"/>
  <c r="H27" i="1"/>
  <c r="S27" i="1"/>
  <c r="J26" i="1"/>
  <c r="K26" i="1"/>
  <c r="L26" i="1"/>
  <c r="M26" i="1"/>
  <c r="Q26" i="1"/>
  <c r="N26" i="1"/>
  <c r="O26" i="1"/>
  <c r="P26" i="1"/>
  <c r="I26" i="1"/>
  <c r="F26" i="1"/>
  <c r="T26" i="1"/>
  <c r="R26" i="1"/>
  <c r="S26" i="1"/>
  <c r="H26" i="1"/>
  <c r="J29" i="1"/>
  <c r="K29" i="1"/>
  <c r="L29" i="1"/>
  <c r="Q29" i="1"/>
  <c r="M29" i="1"/>
  <c r="I29" i="1"/>
  <c r="N29" i="1"/>
  <c r="O29" i="1"/>
  <c r="P29" i="1"/>
  <c r="R29" i="1"/>
  <c r="T29" i="1"/>
  <c r="S29" i="1"/>
  <c r="H29" i="1"/>
  <c r="J25" i="1"/>
  <c r="K25" i="1"/>
  <c r="L25" i="1"/>
  <c r="Q25" i="1"/>
  <c r="M25" i="1"/>
  <c r="N25" i="1"/>
  <c r="O25" i="1"/>
  <c r="P25" i="1"/>
  <c r="I25" i="1"/>
  <c r="R25" i="1"/>
  <c r="T25" i="1"/>
  <c r="S25" i="1"/>
  <c r="J31" i="1"/>
  <c r="K31" i="1"/>
  <c r="I31" i="1"/>
  <c r="L31" i="1"/>
  <c r="M31" i="1"/>
  <c r="Q31" i="1"/>
  <c r="N31" i="1"/>
  <c r="O31" i="1"/>
  <c r="P31" i="1"/>
  <c r="S31" i="1"/>
  <c r="T31" i="1"/>
  <c r="H31" i="1"/>
  <c r="R31" i="1"/>
  <c r="J28" i="1"/>
  <c r="K28" i="1"/>
  <c r="L28" i="1"/>
  <c r="Q28" i="1"/>
  <c r="M28" i="1"/>
  <c r="N28" i="1"/>
  <c r="I28" i="1"/>
  <c r="O28" i="1"/>
  <c r="P28" i="1"/>
  <c r="H28" i="1"/>
  <c r="R28" i="1"/>
  <c r="S28" i="1"/>
  <c r="T28" i="1"/>
  <c r="C15" i="5"/>
  <c r="F3" i="5"/>
  <c r="C16" i="5"/>
  <c r="G3" i="5"/>
  <c r="AI32" i="1"/>
  <c r="C32" i="1"/>
  <c r="D28" i="1"/>
  <c r="G28" i="1"/>
  <c r="E28" i="1"/>
  <c r="F28" i="1"/>
  <c r="G27" i="1"/>
  <c r="F27" i="1"/>
  <c r="E27" i="1"/>
  <c r="D27" i="1"/>
  <c r="E26" i="1"/>
  <c r="G26" i="1"/>
  <c r="G31" i="1"/>
  <c r="F31" i="1"/>
  <c r="E31" i="1"/>
  <c r="D31" i="1"/>
  <c r="G29" i="1"/>
  <c r="F29" i="1"/>
  <c r="E29" i="1"/>
  <c r="D29" i="1"/>
  <c r="F5" i="4"/>
  <c r="J5" i="4" s="1"/>
  <c r="F6" i="4"/>
  <c r="J6" i="4" s="1"/>
  <c r="E5" i="4"/>
  <c r="I5" i="4" s="1"/>
  <c r="E6" i="4"/>
  <c r="I6" i="4" s="1"/>
  <c r="F4" i="4"/>
  <c r="J4" i="4" s="1"/>
  <c r="F3" i="4"/>
  <c r="J3" i="4" s="1"/>
  <c r="E4" i="4"/>
  <c r="I4" i="4" s="1"/>
  <c r="E3" i="4"/>
  <c r="I3" i="4" s="1"/>
  <c r="X23" i="1" l="1"/>
  <c r="AB23" i="1"/>
  <c r="AB14" i="1" s="1"/>
  <c r="AC23" i="1"/>
  <c r="AC14" i="1" s="1"/>
  <c r="Y23" i="1"/>
  <c r="Y20" i="1" s="1"/>
  <c r="Z23" i="1"/>
  <c r="Z20" i="1" s="1"/>
  <c r="X21" i="1"/>
  <c r="X14" i="1"/>
  <c r="X20" i="1"/>
  <c r="AA20" i="1"/>
  <c r="AA21" i="1"/>
  <c r="AA14" i="1"/>
  <c r="AB20" i="1"/>
  <c r="AK29" i="1"/>
  <c r="AL29" i="1" s="1"/>
  <c r="AM29" i="1" s="1"/>
  <c r="AK26" i="1"/>
  <c r="AL26" i="1" s="1"/>
  <c r="AM26" i="1" s="1"/>
  <c r="AK25" i="1"/>
  <c r="AL25" i="1" s="1"/>
  <c r="AM25" i="1" s="1"/>
  <c r="AG30" i="1"/>
  <c r="W30" i="1"/>
  <c r="AF30" i="1"/>
  <c r="V30" i="1"/>
  <c r="U30" i="1"/>
  <c r="AE30" i="1"/>
  <c r="AD30" i="1"/>
  <c r="AD24" i="1"/>
  <c r="W24" i="1"/>
  <c r="U24" i="1"/>
  <c r="U23" i="1" s="1"/>
  <c r="V24" i="1"/>
  <c r="V23" i="1" s="1"/>
  <c r="AE24" i="1"/>
  <c r="AF24" i="1"/>
  <c r="AG24" i="1"/>
  <c r="G24" i="1"/>
  <c r="H24" i="1"/>
  <c r="D24" i="1"/>
  <c r="E24" i="1"/>
  <c r="F24" i="1"/>
  <c r="AK28" i="1"/>
  <c r="AL28" i="1" s="1"/>
  <c r="AM28" i="1" s="1"/>
  <c r="AK27" i="1"/>
  <c r="AL27" i="1" s="1"/>
  <c r="AM27" i="1" s="1"/>
  <c r="J30" i="1"/>
  <c r="K30" i="1"/>
  <c r="L30" i="1"/>
  <c r="I30" i="1"/>
  <c r="M30" i="1"/>
  <c r="N30" i="1"/>
  <c r="O30" i="1"/>
  <c r="P30" i="1"/>
  <c r="Q30" i="1"/>
  <c r="H30" i="1"/>
  <c r="R30" i="1"/>
  <c r="T30" i="1"/>
  <c r="S30" i="1"/>
  <c r="AN32" i="1"/>
  <c r="J24" i="1"/>
  <c r="I24" i="1"/>
  <c r="K24" i="1"/>
  <c r="K23" i="1" s="1"/>
  <c r="L24" i="1"/>
  <c r="M24" i="1"/>
  <c r="Q24" i="1"/>
  <c r="N24" i="1"/>
  <c r="O24" i="1"/>
  <c r="P24" i="1"/>
  <c r="AK31" i="1"/>
  <c r="AL31" i="1" s="1"/>
  <c r="AM31" i="1" s="1"/>
  <c r="AI28" i="1"/>
  <c r="R24" i="1"/>
  <c r="S24" i="1"/>
  <c r="T24" i="1"/>
  <c r="AI31" i="1"/>
  <c r="AI26" i="1"/>
  <c r="AI25" i="1"/>
  <c r="AI27" i="1"/>
  <c r="I14" i="4"/>
  <c r="AI29" i="1"/>
  <c r="J14" i="4"/>
  <c r="G30" i="1"/>
  <c r="F30" i="1"/>
  <c r="E30" i="1"/>
  <c r="D30" i="1"/>
  <c r="C25" i="1"/>
  <c r="C26" i="1"/>
  <c r="C27" i="1"/>
  <c r="C28" i="1"/>
  <c r="C29" i="1"/>
  <c r="C31" i="1"/>
  <c r="C33" i="1"/>
  <c r="C4" i="1"/>
  <c r="C5" i="1"/>
  <c r="C6" i="1"/>
  <c r="C7" i="1"/>
  <c r="C8" i="1"/>
  <c r="C9" i="1"/>
  <c r="C10" i="1"/>
  <c r="C11" i="1"/>
  <c r="C12" i="1"/>
  <c r="C13" i="1"/>
  <c r="C15" i="1"/>
  <c r="C16" i="1"/>
  <c r="C22" i="1"/>
  <c r="AB21" i="1" l="1"/>
  <c r="Z21" i="1"/>
  <c r="AC20" i="1"/>
  <c r="Y21" i="1"/>
  <c r="Z14" i="1"/>
  <c r="X3" i="1"/>
  <c r="X34" i="1" s="1"/>
  <c r="Y14" i="1"/>
  <c r="Y3" i="1" s="1"/>
  <c r="Y34" i="1" s="1"/>
  <c r="AC21" i="1"/>
  <c r="AC3" i="1" s="1"/>
  <c r="AC34" i="1" s="1"/>
  <c r="AB3" i="1"/>
  <c r="AB34" i="1" s="1"/>
  <c r="AA3" i="1"/>
  <c r="AA34" i="1" s="1"/>
  <c r="AD23" i="1"/>
  <c r="AD21" i="1" s="1"/>
  <c r="AG23" i="1"/>
  <c r="AG14" i="1" s="1"/>
  <c r="AK30" i="1"/>
  <c r="AL30" i="1" s="1"/>
  <c r="AM30" i="1" s="1"/>
  <c r="AF23" i="1"/>
  <c r="AF21" i="1" s="1"/>
  <c r="AE23" i="1"/>
  <c r="AE21" i="1" s="1"/>
  <c r="W23" i="1"/>
  <c r="W21" i="1" s="1"/>
  <c r="V14" i="1"/>
  <c r="V21" i="1"/>
  <c r="V20" i="1"/>
  <c r="U20" i="1"/>
  <c r="U21" i="1"/>
  <c r="U14" i="1"/>
  <c r="AN26" i="1"/>
  <c r="AN25" i="1"/>
  <c r="K20" i="1"/>
  <c r="K21" i="1"/>
  <c r="AN28" i="1"/>
  <c r="AN29" i="1"/>
  <c r="I23" i="1"/>
  <c r="I21" i="1" s="1"/>
  <c r="AN27" i="1"/>
  <c r="AN31" i="1"/>
  <c r="G23" i="1"/>
  <c r="K14" i="1"/>
  <c r="AK24" i="1"/>
  <c r="AL24" i="1" s="1"/>
  <c r="AM24" i="1" s="1"/>
  <c r="P23" i="1"/>
  <c r="T23" i="1"/>
  <c r="H23" i="1"/>
  <c r="R23" i="1"/>
  <c r="AI24" i="1"/>
  <c r="O23" i="1"/>
  <c r="AI30" i="1"/>
  <c r="M23" i="1"/>
  <c r="J23" i="1"/>
  <c r="E23" i="1"/>
  <c r="S23" i="1"/>
  <c r="F23" i="1"/>
  <c r="Q23" i="1"/>
  <c r="N23" i="1"/>
  <c r="L23" i="1"/>
  <c r="D23" i="1"/>
  <c r="D21" i="1" s="1"/>
  <c r="C24" i="1"/>
  <c r="C30" i="1"/>
  <c r="Z3" i="1" l="1"/>
  <c r="Z34" i="1" s="1"/>
  <c r="AG20" i="1"/>
  <c r="AG21" i="1"/>
  <c r="AD20" i="1"/>
  <c r="AD14" i="1"/>
  <c r="AE14" i="1"/>
  <c r="AE3" i="1" s="1"/>
  <c r="AE34" i="1" s="1"/>
  <c r="U3" i="1"/>
  <c r="U34" i="1" s="1"/>
  <c r="AF14" i="1"/>
  <c r="AF20" i="1"/>
  <c r="W14" i="1"/>
  <c r="W20" i="1"/>
  <c r="AE20" i="1"/>
  <c r="V3" i="1"/>
  <c r="V34" i="1" s="1"/>
  <c r="AD3" i="1"/>
  <c r="AD34" i="1" s="1"/>
  <c r="L20" i="1"/>
  <c r="L21" i="1"/>
  <c r="N20" i="1"/>
  <c r="N21" i="1"/>
  <c r="F20" i="1"/>
  <c r="F21" i="1"/>
  <c r="G20" i="1"/>
  <c r="G21" i="1"/>
  <c r="E20" i="1"/>
  <c r="E21" i="1"/>
  <c r="H20" i="1"/>
  <c r="H21" i="1"/>
  <c r="O20" i="1"/>
  <c r="O21" i="1"/>
  <c r="Q20" i="1"/>
  <c r="Q21" i="1"/>
  <c r="R20" i="1"/>
  <c r="R21" i="1"/>
  <c r="J20" i="1"/>
  <c r="J21" i="1"/>
  <c r="T20" i="1"/>
  <c r="T21" i="1"/>
  <c r="M20" i="1"/>
  <c r="M21" i="1"/>
  <c r="S20" i="1"/>
  <c r="S21" i="1"/>
  <c r="P20" i="1"/>
  <c r="P21" i="1"/>
  <c r="I14" i="1"/>
  <c r="I20" i="1"/>
  <c r="D14" i="1"/>
  <c r="D20" i="1"/>
  <c r="G14" i="1"/>
  <c r="AN30" i="1"/>
  <c r="S14" i="1"/>
  <c r="R14" i="1"/>
  <c r="H14" i="1"/>
  <c r="E14" i="1"/>
  <c r="L14" i="1"/>
  <c r="T14" i="1"/>
  <c r="O14" i="1"/>
  <c r="P14" i="1"/>
  <c r="J14" i="1"/>
  <c r="M14" i="1"/>
  <c r="N14" i="1"/>
  <c r="Q14" i="1"/>
  <c r="F14" i="1"/>
  <c r="AN24" i="1"/>
  <c r="AM23" i="1"/>
  <c r="AJ23" i="1"/>
  <c r="AL23" i="1"/>
  <c r="AK23" i="1"/>
  <c r="AI23" i="1"/>
  <c r="C23" i="1"/>
  <c r="K3" i="1"/>
  <c r="K34" i="1" s="1"/>
  <c r="AG3" i="1" l="1"/>
  <c r="AG34" i="1" s="1"/>
  <c r="AF3" i="1"/>
  <c r="AF34" i="1" s="1"/>
  <c r="W3" i="1"/>
  <c r="W34" i="1" s="1"/>
  <c r="AK20" i="1"/>
  <c r="AL20" i="1" s="1"/>
  <c r="AM20" i="1" s="1"/>
  <c r="AK14" i="1"/>
  <c r="AL14" i="1" s="1"/>
  <c r="L3" i="1"/>
  <c r="L34" i="1" s="1"/>
  <c r="I3" i="1"/>
  <c r="I34" i="1" s="1"/>
  <c r="AI21" i="1"/>
  <c r="G3" i="1"/>
  <c r="G34" i="1" s="1"/>
  <c r="C21" i="1"/>
  <c r="T3" i="1"/>
  <c r="T34" i="1" s="1"/>
  <c r="P3" i="1"/>
  <c r="P34" i="1" s="1"/>
  <c r="M3" i="1"/>
  <c r="M34" i="1" s="1"/>
  <c r="H3" i="1"/>
  <c r="H34" i="1" s="1"/>
  <c r="Q3" i="1"/>
  <c r="Q34" i="1" s="1"/>
  <c r="O3" i="1"/>
  <c r="O34" i="1" s="1"/>
  <c r="N3" i="1"/>
  <c r="N34" i="1" s="1"/>
  <c r="F3" i="1"/>
  <c r="F34" i="1" s="1"/>
  <c r="J3" i="1"/>
  <c r="J34" i="1" s="1"/>
  <c r="R3" i="1"/>
  <c r="R34" i="1" s="1"/>
  <c r="AN23" i="1"/>
  <c r="S3" i="1"/>
  <c r="S34" i="1" s="1"/>
  <c r="C14" i="1"/>
  <c r="AI20" i="1"/>
  <c r="AI14" i="1"/>
  <c r="E3" i="1"/>
  <c r="E34" i="1" s="1"/>
  <c r="C20" i="1"/>
  <c r="D3" i="1"/>
  <c r="D3" i="5"/>
  <c r="C22" i="5"/>
  <c r="C3" i="5" s="1"/>
  <c r="C42" i="1" s="1"/>
  <c r="C43" i="1" s="1"/>
  <c r="AK21" i="1" l="1"/>
  <c r="AL21" i="1" s="1"/>
  <c r="AM21" i="1" s="1"/>
  <c r="AN20" i="1"/>
  <c r="C3" i="1"/>
  <c r="AJ3" i="1"/>
  <c r="AJ34" i="1" s="1"/>
  <c r="AM14" i="1"/>
  <c r="AN14" i="1" s="1"/>
  <c r="AI3" i="1"/>
  <c r="D34" i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l="1"/>
  <c r="O35" i="1" s="1"/>
  <c r="P35" i="1" s="1"/>
  <c r="Q35" i="1" s="1"/>
  <c r="R35" i="1" s="1"/>
  <c r="AL3" i="1"/>
  <c r="AL34" i="1" s="1"/>
  <c r="AK3" i="1"/>
  <c r="AK34" i="1" s="1"/>
  <c r="AN21" i="1"/>
  <c r="AI35" i="1"/>
  <c r="AJ35" i="1" s="1"/>
  <c r="AI34" i="1"/>
  <c r="AI38" i="1" s="1"/>
  <c r="D38" i="1"/>
  <c r="E38" i="1" s="1"/>
  <c r="F38" i="1" s="1"/>
  <c r="G38" i="1" s="1"/>
  <c r="H38" i="1" s="1"/>
  <c r="I38" i="1" s="1"/>
  <c r="J38" i="1" s="1"/>
  <c r="K38" i="1" s="1"/>
  <c r="L38" i="1" s="1"/>
  <c r="M38" i="1" s="1"/>
  <c r="N38" i="1" s="1"/>
  <c r="O38" i="1" s="1"/>
  <c r="P38" i="1" s="1"/>
  <c r="Q38" i="1" s="1"/>
  <c r="S35" i="1" l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R38" i="1"/>
  <c r="S38" i="1" s="1"/>
  <c r="T38" i="1" s="1"/>
  <c r="U38" i="1" s="1"/>
  <c r="V38" i="1" s="1"/>
  <c r="W38" i="1" s="1"/>
  <c r="AK35" i="1"/>
  <c r="AL35" i="1" s="1"/>
  <c r="AJ38" i="1"/>
  <c r="AM3" i="1"/>
  <c r="X38" i="1" l="1"/>
  <c r="Y38" i="1" s="1"/>
  <c r="Z38" i="1" s="1"/>
  <c r="AA38" i="1" s="1"/>
  <c r="AB38" i="1" s="1"/>
  <c r="AC38" i="1" s="1"/>
  <c r="AD38" i="1" s="1"/>
  <c r="AE38" i="1" s="1"/>
  <c r="AF38" i="1" s="1"/>
  <c r="AG38" i="1" s="1"/>
  <c r="AM34" i="1"/>
  <c r="AM35" i="1" s="1"/>
  <c r="AN3" i="1"/>
  <c r="AN34" i="1" s="1"/>
  <c r="AK38" i="1"/>
  <c r="C38" i="1" l="1"/>
  <c r="AN35" i="1"/>
  <c r="AL38" i="1"/>
  <c r="AM38" i="1" s="1"/>
  <c r="AN38" i="1" l="1"/>
</calcChain>
</file>

<file path=xl/sharedStrings.xml><?xml version="1.0" encoding="utf-8"?>
<sst xmlns="http://schemas.openxmlformats.org/spreadsheetml/2006/main" count="369" uniqueCount="307">
  <si>
    <t>№</t>
  </si>
  <si>
    <t>Наименование</t>
  </si>
  <si>
    <t>1 мес.</t>
  </si>
  <si>
    <t>2 мес.</t>
  </si>
  <si>
    <t>3 мес.</t>
  </si>
  <si>
    <t>4 мес.</t>
  </si>
  <si>
    <t>5 мес.</t>
  </si>
  <si>
    <t>6 мес.</t>
  </si>
  <si>
    <t>7 мес.</t>
  </si>
  <si>
    <t>8 мес.</t>
  </si>
  <si>
    <t>9 мес.</t>
  </si>
  <si>
    <t>10 мес.</t>
  </si>
  <si>
    <t>11 мес.</t>
  </si>
  <si>
    <t>12 мес.</t>
  </si>
  <si>
    <t>13 мес.</t>
  </si>
  <si>
    <t>14 мес.</t>
  </si>
  <si>
    <t>15 мес.</t>
  </si>
  <si>
    <t>16 мес.</t>
  </si>
  <si>
    <t>17 мес.</t>
  </si>
  <si>
    <t>18 мес.</t>
  </si>
  <si>
    <t>Расходы:</t>
  </si>
  <si>
    <t>1.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</si>
  <si>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</si>
  <si>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</si>
  <si>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</si>
  <si>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</si>
  <si>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</si>
  <si>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</si>
  <si>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</si>
  <si>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</si>
  <si>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</si>
  <si>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1-10</t>
  </si>
  <si>
    <t>1-11</t>
  </si>
  <si>
    <t>1-12</t>
  </si>
  <si>
    <t xml:space="preserve">Оборудование </t>
  </si>
  <si>
    <t>Регистрация предприятия</t>
  </si>
  <si>
    <t>Аренда производственой площадки</t>
  </si>
  <si>
    <t>Аренда офиса</t>
  </si>
  <si>
    <t xml:space="preserve">Операционные расходы </t>
  </si>
  <si>
    <t xml:space="preserve"> Компьютеры и орг. техника </t>
  </si>
  <si>
    <t>Документация и сертификация (кроме ГЭЭ)</t>
  </si>
  <si>
    <t>Государственная Экологическая Экспертиза (ГЭЭ)</t>
  </si>
  <si>
    <t>Промышленная безопастность</t>
  </si>
  <si>
    <t>Автопогрузчик</t>
  </si>
  <si>
    <t>Инструмент</t>
  </si>
  <si>
    <t>Участие в высавках</t>
  </si>
  <si>
    <t>Реклама</t>
  </si>
  <si>
    <t>1-13</t>
  </si>
  <si>
    <t>1-14</t>
  </si>
  <si>
    <t>1-15</t>
  </si>
  <si>
    <t>1-16</t>
  </si>
  <si>
    <t>1-17</t>
  </si>
  <si>
    <t>ФОТ</t>
  </si>
  <si>
    <t>2.</t>
  </si>
  <si>
    <t>Доходы:</t>
  </si>
  <si>
    <t>3.</t>
  </si>
  <si>
    <t>Возврат инвестиций</t>
  </si>
  <si>
    <t>4.</t>
  </si>
  <si>
    <t>Операционная прибыль (доход-расход)</t>
  </si>
  <si>
    <t>5.</t>
  </si>
  <si>
    <t>Дивиденды</t>
  </si>
  <si>
    <t>Нераспределенная прибыль</t>
  </si>
  <si>
    <t>6.</t>
  </si>
  <si>
    <t>Тариф</t>
  </si>
  <si>
    <t>Прочие</t>
  </si>
  <si>
    <t>Коммандировки</t>
  </si>
  <si>
    <t>Реализация тех. углерода</t>
  </si>
  <si>
    <t>Реализация мазута</t>
  </si>
  <si>
    <t>Реализация тяжелых фракций</t>
  </si>
  <si>
    <t>Утилизация фильтров</t>
  </si>
  <si>
    <t>Расходные материалы (производственные)</t>
  </si>
  <si>
    <t>Грузовой транспорт</t>
  </si>
  <si>
    <t>Спецодежда</t>
  </si>
  <si>
    <t>Эксплуатация АБК</t>
  </si>
  <si>
    <r>
      <t>Реализация углекислоты (СО</t>
    </r>
    <r>
      <rPr>
        <i/>
        <sz val="6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)</t>
    </r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</si>
  <si>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</si>
  <si>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</si>
  <si>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</si>
  <si>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</si>
  <si>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</si>
  <si>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</si>
  <si>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</si>
  <si>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</si>
  <si>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</si>
  <si>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Металлолом</t>
  </si>
  <si>
    <t>7.</t>
  </si>
  <si>
    <t>Баланс доходов-расходов (БДР)</t>
  </si>
  <si>
    <t>ВСЕГО</t>
  </si>
  <si>
    <t>% выхода</t>
  </si>
  <si>
    <t>Пиролизная жидкость</t>
  </si>
  <si>
    <t>тонн в сутки</t>
  </si>
  <si>
    <t>тонн в месяц (27 дней)</t>
  </si>
  <si>
    <t>Газ (пропан-бутан-этан)</t>
  </si>
  <si>
    <t>Металлокорд</t>
  </si>
  <si>
    <t>Мазут М100</t>
  </si>
  <si>
    <t>Гудрон тяжелый</t>
  </si>
  <si>
    <t>10-12</t>
  </si>
  <si>
    <t>6-10</t>
  </si>
  <si>
    <r>
      <t>Жидкий СО</t>
    </r>
    <r>
      <rPr>
        <sz val="8"/>
        <color theme="1"/>
        <rFont val="Calibri"/>
        <family val="2"/>
        <scheme val="minor"/>
      </rPr>
      <t>2</t>
    </r>
  </si>
  <si>
    <t>тонн в год     ( 340 дней)</t>
  </si>
  <si>
    <t>5-8</t>
  </si>
  <si>
    <t>Капитальные затраты</t>
  </si>
  <si>
    <t>Операционная деятельность</t>
  </si>
  <si>
    <t>Обслуживание транспорта</t>
  </si>
  <si>
    <t>ИТОГО</t>
  </si>
  <si>
    <t>Реализация вторсырья</t>
  </si>
  <si>
    <t>Вторсырье</t>
  </si>
  <si>
    <t>Получение лицензии на утилизацию отходов</t>
  </si>
  <si>
    <t>25</t>
  </si>
  <si>
    <t>CAPEX -</t>
  </si>
  <si>
    <t>Количество в смену</t>
  </si>
  <si>
    <t>Общее количество</t>
  </si>
  <si>
    <t>Генеральный  директор</t>
  </si>
  <si>
    <t>Финансовый директор</t>
  </si>
  <si>
    <t>Главный бухгалтер</t>
  </si>
  <si>
    <t>Инженер-технолог производства</t>
  </si>
  <si>
    <t>Инженер по охране труда и ТБ</t>
  </si>
  <si>
    <t>Машинист электростанции</t>
  </si>
  <si>
    <t>Машинист газокомпрессорных станций</t>
  </si>
  <si>
    <t>Машинист шредеров</t>
  </si>
  <si>
    <t>Диспетчер на пульте АСУ ТП</t>
  </si>
  <si>
    <t>Подсобный рабочий</t>
  </si>
  <si>
    <t>ИТОГО:</t>
  </si>
  <si>
    <t>Потребляемая мощность (кВт\ч)</t>
  </si>
  <si>
    <t>кол-во</t>
  </si>
  <si>
    <t>УЧАСТОК ПОДГОТОВКИ СЫРЬЯ</t>
  </si>
  <si>
    <t>Шнековый  транспортер  620*8*8000</t>
  </si>
  <si>
    <t>Итого по разделу:</t>
  </si>
  <si>
    <t>ТОПЛИВНЫЙ УЧАСТОК</t>
  </si>
  <si>
    <t xml:space="preserve">Насосная абсорбентная станция  </t>
  </si>
  <si>
    <t>Оборудование для очистки топлива на выдачу</t>
  </si>
  <si>
    <t>2</t>
  </si>
  <si>
    <t>РЕАКТОРНЫЙ УЧАСТОК</t>
  </si>
  <si>
    <t xml:space="preserve">Блок охлаждения и конденсации </t>
  </si>
  <si>
    <t xml:space="preserve">Станция очистки синтез газа </t>
  </si>
  <si>
    <t>Станция очистки дымовых газов</t>
  </si>
  <si>
    <t>Станция десульфурации и дегазации</t>
  </si>
  <si>
    <t>3-1</t>
  </si>
  <si>
    <t>3-2</t>
  </si>
  <si>
    <t>7-1</t>
  </si>
  <si>
    <t>5-1</t>
  </si>
  <si>
    <t>3-3</t>
  </si>
  <si>
    <t>3-4</t>
  </si>
  <si>
    <t>3-5</t>
  </si>
  <si>
    <t>3-6</t>
  </si>
  <si>
    <t>ЭЛЕКТРОСТАНЦИЯ</t>
  </si>
  <si>
    <t>4-1</t>
  </si>
  <si>
    <t>Моторное масло Mobil Delvac MX Extra 10W-40 для ГПЭС (0,5г/1Квт.ч.)</t>
  </si>
  <si>
    <t>ГАЗОКОМПРЕССОРНЫЙ УЧАСТОК</t>
  </si>
  <si>
    <t>Станция  сжатия синтез газа</t>
  </si>
  <si>
    <t>Станция фильтрации синтез газа</t>
  </si>
  <si>
    <t>Станция очистки пропан/этан/бутана</t>
  </si>
  <si>
    <t>Станция сжатия пропан/этан/бутана</t>
  </si>
  <si>
    <t>Станция сжижения пропан/этан/бутана</t>
  </si>
  <si>
    <t xml:space="preserve">Крио-газгольдер для СУГ наземный 50 м3 </t>
  </si>
  <si>
    <t>5-2</t>
  </si>
  <si>
    <t>5-3</t>
  </si>
  <si>
    <t>5-4</t>
  </si>
  <si>
    <t>5-5</t>
  </si>
  <si>
    <t>5-6</t>
  </si>
  <si>
    <t>5-7</t>
  </si>
  <si>
    <t>5-9</t>
  </si>
  <si>
    <t>5-10</t>
  </si>
  <si>
    <t>НАСОСНЫЙ УЧАСТОК</t>
  </si>
  <si>
    <t>Насосная станция обслуживания топливного парка</t>
  </si>
  <si>
    <t>Насосная магистральная станция</t>
  </si>
  <si>
    <t>Канализационные очистные 4,3 м3/сутки</t>
  </si>
  <si>
    <t>Насосная станция горячих масел 1*8 шт</t>
  </si>
  <si>
    <t>Станция водоподготовки  5 м3/сутки</t>
  </si>
  <si>
    <t>Скважина на воду 4,5 м3/сутки</t>
  </si>
  <si>
    <t>6-1</t>
  </si>
  <si>
    <t>6-3</t>
  </si>
  <si>
    <t>6-2</t>
  </si>
  <si>
    <t>6-4</t>
  </si>
  <si>
    <t>6-5</t>
  </si>
  <si>
    <t>6-6</t>
  </si>
  <si>
    <t>6-7</t>
  </si>
  <si>
    <t>УЧАСТОК ПОЖАРОТУШЕНИЯ</t>
  </si>
  <si>
    <t>Станция пенного пожаротушения</t>
  </si>
  <si>
    <t>Станция газового пожаротушения</t>
  </si>
  <si>
    <t>7-2</t>
  </si>
  <si>
    <t>7-3</t>
  </si>
  <si>
    <t>Фильтры для газоочистных станций</t>
  </si>
  <si>
    <t>КОММУНИКАЦИИ</t>
  </si>
  <si>
    <t>Коммуникации, трубопроводы, автоматика</t>
  </si>
  <si>
    <t>8-1</t>
  </si>
  <si>
    <t>АВТОМАТИЗАЦИЯ</t>
  </si>
  <si>
    <t xml:space="preserve">АСУ ТП и Д </t>
  </si>
  <si>
    <t>9-1</t>
  </si>
  <si>
    <t>ПЛОЩАДОЧНАЯ ТЕХНИКА</t>
  </si>
  <si>
    <t>Перегружатель-экскаватор  лепестковый</t>
  </si>
  <si>
    <t>Погрузчик фронтальный</t>
  </si>
  <si>
    <t>Погрузчик Bobcat S650</t>
  </si>
  <si>
    <t>10-1</t>
  </si>
  <si>
    <t>10-2</t>
  </si>
  <si>
    <t>10-3</t>
  </si>
  <si>
    <t>ДОПОЛНИТЕЛЬНОЕ ОБОРУДОВАНИЕ</t>
  </si>
  <si>
    <t>11-1</t>
  </si>
  <si>
    <t>Всего по всем разделам:</t>
  </si>
  <si>
    <t>Капитальное строительство (АБК)</t>
  </si>
  <si>
    <t>Технический директор</t>
  </si>
  <si>
    <t>Бухгалтер калькулятор</t>
  </si>
  <si>
    <t>Инженер энергетик</t>
  </si>
  <si>
    <t>Инженер УТК</t>
  </si>
  <si>
    <t>Инженер по эксплуатации зданий и сооружений</t>
  </si>
  <si>
    <t>Инженер-эколог</t>
  </si>
  <si>
    <t>Инженер кадровой службы</t>
  </si>
  <si>
    <t>Менеджер по сырьевому снабжению</t>
  </si>
  <si>
    <t>Менеджер по реализации продукции</t>
  </si>
  <si>
    <t>Мастер участка</t>
  </si>
  <si>
    <t>Оператор реакторного участка</t>
  </si>
  <si>
    <t>Машинист стационарного перегружателя</t>
  </si>
  <si>
    <t>Машинист самоходного перегружателя</t>
  </si>
  <si>
    <t>Машинист фронтального погрузчика</t>
  </si>
  <si>
    <t>Машинист мини погрузчика</t>
  </si>
  <si>
    <t>Кладовщик</t>
  </si>
  <si>
    <t xml:space="preserve">Лаборант </t>
  </si>
  <si>
    <t xml:space="preserve">Фельдшер </t>
  </si>
  <si>
    <t xml:space="preserve">Заведующий хозяйством                                   </t>
  </si>
  <si>
    <t>Заведующий столовой</t>
  </si>
  <si>
    <t xml:space="preserve">Заведующий складом                                         </t>
  </si>
  <si>
    <t>Повар общественного питания</t>
  </si>
  <si>
    <t>Кухонный рабочий</t>
  </si>
  <si>
    <t>Рабочий по зданию</t>
  </si>
  <si>
    <t xml:space="preserve">Дезинфектор </t>
  </si>
  <si>
    <t xml:space="preserve">Дворник </t>
  </si>
  <si>
    <t>Уборщик производственных и служебных помещений</t>
  </si>
  <si>
    <t>Фильтры для углекислотной станции.</t>
  </si>
  <si>
    <t>ФОТ (временный для монтажа и пуска)</t>
  </si>
  <si>
    <t>1-18</t>
  </si>
  <si>
    <t>1-19</t>
  </si>
  <si>
    <t>2-10</t>
  </si>
  <si>
    <t>Прочие (3%)</t>
  </si>
  <si>
    <t>ПИР (7%)</t>
  </si>
  <si>
    <t>1-й год</t>
  </si>
  <si>
    <t>2-й год</t>
  </si>
  <si>
    <t>3-й год</t>
  </si>
  <si>
    <t>4-й год</t>
  </si>
  <si>
    <t>5-й год</t>
  </si>
  <si>
    <t>Станция очистки пиролизного масла 50 м3</t>
  </si>
  <si>
    <t>Станция сжижения СО2 220 кг/ч</t>
  </si>
  <si>
    <t xml:space="preserve">Емкость 250 бар для сжатого синтез газа 2000 л </t>
  </si>
  <si>
    <t>Оборудование для верхнего налива ГСМ</t>
  </si>
  <si>
    <t>Цистерна переходная для пиролизной жидкости 20 м3</t>
  </si>
  <si>
    <t>Директор АБК</t>
  </si>
  <si>
    <t>Зам директора АБК</t>
  </si>
  <si>
    <t>Создание сайта</t>
  </si>
  <si>
    <t>Поддержание сайта</t>
  </si>
  <si>
    <t>DPP (без учета ставки дисконтирования) -</t>
  </si>
  <si>
    <t>Перечень оборудования</t>
  </si>
  <si>
    <t>Штатное расписание</t>
  </si>
  <si>
    <t>Получаемая продукция</t>
  </si>
  <si>
    <t>ВСЕГО за 5 лет.</t>
  </si>
  <si>
    <t xml:space="preserve">Шредер ТБО Wagner WS 70 </t>
  </si>
  <si>
    <t>НПЗ-30</t>
  </si>
  <si>
    <t>Помолочный комплекс с системой аспирации в компл.</t>
  </si>
  <si>
    <t>Курс Евро -</t>
  </si>
  <si>
    <t>Стоимость   (рубли)</t>
  </si>
  <si>
    <t>Стоимость  (ЕВРО)</t>
  </si>
  <si>
    <t>Цена единицы (руб)</t>
  </si>
  <si>
    <t>11-2</t>
  </si>
  <si>
    <t>Запасные части и расходные материалы</t>
  </si>
  <si>
    <t>Капитальное строительство (ангары из сэндвичпанелей) 4,0%</t>
  </si>
  <si>
    <t>Капитальное строительство (фундаменты под обор.) 5,0%</t>
  </si>
  <si>
    <t>стоимость тонны    (евро)</t>
  </si>
  <si>
    <t>Стоимость в сутки  (евро)</t>
  </si>
  <si>
    <t>Стоимость в месяц (евро)</t>
  </si>
  <si>
    <t>Стоимость в год  (евро)</t>
  </si>
  <si>
    <t>Электроэнергия (стоимость за 1 мВт)</t>
  </si>
  <si>
    <t>Тепловая энергия (стоимость за 1 мВт)</t>
  </si>
  <si>
    <t>Оператор</t>
  </si>
  <si>
    <t xml:space="preserve">Электрик </t>
  </si>
  <si>
    <t xml:space="preserve">Слесарь </t>
  </si>
  <si>
    <t>ЗП в месяц включая налоги</t>
  </si>
  <si>
    <t>Оклад включая налоги</t>
  </si>
  <si>
    <t>4-2</t>
  </si>
  <si>
    <t>Налоги  (НДС 20%)</t>
  </si>
  <si>
    <t>Реализация электроэнергии</t>
  </si>
  <si>
    <t>Реализация тепловой энергии</t>
  </si>
  <si>
    <t>Технический углерод (зольность до 5%)</t>
  </si>
  <si>
    <t>Налоги прочие 10%</t>
  </si>
  <si>
    <t>Срок изготовления оборудования 7-9 месяцев.</t>
  </si>
  <si>
    <t>Монтаж и пуско-наладка 6-8 недель.</t>
  </si>
  <si>
    <t>ГПУ Mitsudiesel GAS АГ-1024С-Т400-1Р29 (1 мВт/ч)</t>
  </si>
  <si>
    <t>Силосный бункер 30 м3</t>
  </si>
  <si>
    <t>Цистерны для пиролизной жидкости 50м3</t>
  </si>
  <si>
    <t>Цистерны для хранения ГСМ 50 м3</t>
  </si>
  <si>
    <t>Пиролизный реактор 50 м3 10*1220*27000 12Х18Н10</t>
  </si>
  <si>
    <t>Пожарный резервуар для воды 40 м3</t>
  </si>
  <si>
    <t>19 мес.</t>
  </si>
  <si>
    <t>20 мес.</t>
  </si>
  <si>
    <t>21 мес.</t>
  </si>
  <si>
    <t>22 мес.</t>
  </si>
  <si>
    <t>23 мес.</t>
  </si>
  <si>
    <t>24 мес.</t>
  </si>
  <si>
    <t>Насосная станция очистки пром.стоков  200л/час</t>
  </si>
  <si>
    <t>Емкости для СО2 УДХ50-2.0 30м3</t>
  </si>
  <si>
    <t>Емкость 250 бар для сжатого пропан/этан/бутана 1000 л</t>
  </si>
  <si>
    <t>25 мес.</t>
  </si>
  <si>
    <t>26 мес.</t>
  </si>
  <si>
    <t>27 мес.</t>
  </si>
  <si>
    <t>28 мес.</t>
  </si>
  <si>
    <t>29 мес.</t>
  </si>
  <si>
    <t>30 мес.</t>
  </si>
  <si>
    <t>Тариф на входное сырье (ТБО)</t>
  </si>
  <si>
    <t>КГПУ – 520 квт/400в (для собственных нужд)</t>
  </si>
  <si>
    <t>30 месяцев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</si>
</sst>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0" fillId="6" borderId="1" xfId="0" applyFill="1" applyBorder="1"/>
    <xf numFmtId="0" fontId="4" fillId="6" borderId="1" xfId="0" applyFont="1" applyFill="1" applyBorder="1" applyAlignment="1">
      <alignment horizontal="right"/>
    </xf>
    <xf numFmtId="0" fontId="3" fillId="6" borderId="1" xfId="0" applyFont="1" applyFill="1" applyBorder="1" applyAlignment="1">
      <alignment horizontal="left"/>
    </xf>
    <xf numFmtId="164" fontId="0" fillId="3" borderId="1" xfId="0" applyNumberFormat="1" applyFill="1" applyBorder="1"/>
    <xf numFmtId="164" fontId="0" fillId="5" borderId="1" xfId="0" applyNumberFormat="1" applyFill="1" applyBorder="1"/>
    <xf numFmtId="164" fontId="0" fillId="6" borderId="1" xfId="0" applyNumberFormat="1" applyFill="1" applyBorder="1"/>
    <xf numFmtId="0" fontId="3" fillId="7" borderId="1" xfId="0" applyFont="1" applyFill="1" applyBorder="1"/>
    <xf numFmtId="164" fontId="0" fillId="7" borderId="1" xfId="0" applyNumberFormat="1" applyFill="1" applyBorder="1"/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0" fillId="0" borderId="0" xfId="0" applyNumberFormat="1"/>
    <xf numFmtId="49" fontId="0" fillId="0" borderId="1" xfId="0" applyNumberFormat="1" applyBorder="1" applyAlignment="1">
      <alignment horizontal="center"/>
    </xf>
    <xf numFmtId="164" fontId="7" fillId="3" borderId="1" xfId="0" applyNumberFormat="1" applyFont="1" applyFill="1" applyBorder="1" applyAlignment="1">
      <alignment horizontal="right"/>
    </xf>
    <xf numFmtId="164" fontId="2" fillId="5" borderId="1" xfId="0" applyNumberFormat="1" applyFont="1" applyFill="1" applyBorder="1"/>
    <xf numFmtId="164" fontId="7" fillId="6" borderId="1" xfId="0" applyNumberFormat="1" applyFont="1" applyFill="1" applyBorder="1" applyAlignment="1">
      <alignment horizontal="right"/>
    </xf>
    <xf numFmtId="164" fontId="2" fillId="6" borderId="1" xfId="0" applyNumberFormat="1" applyFont="1" applyFill="1" applyBorder="1"/>
    <xf numFmtId="164" fontId="2" fillId="7" borderId="1" xfId="0" applyNumberFormat="1" applyFont="1" applyFill="1" applyBorder="1"/>
    <xf numFmtId="164" fontId="0" fillId="4" borderId="1" xfId="0" applyNumberFormat="1" applyFill="1" applyBorder="1"/>
    <xf numFmtId="0" fontId="0" fillId="0" borderId="1" xfId="0" applyBorder="1" applyAlignment="1">
      <alignment horizontal="right"/>
    </xf>
    <xf numFmtId="164" fontId="3" fillId="4" borderId="1" xfId="0" applyNumberFormat="1" applyFont="1" applyFill="1" applyBorder="1"/>
    <xf numFmtId="0" fontId="8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6" borderId="1" xfId="0" applyFill="1" applyBorder="1" applyAlignment="1">
      <alignment horizontal="center"/>
    </xf>
    <xf numFmtId="49" fontId="0" fillId="8" borderId="1" xfId="0" applyNumberFormat="1" applyFill="1" applyBorder="1" applyAlignment="1">
      <alignment horizontal="center" vertical="center" wrapText="1"/>
    </xf>
    <xf numFmtId="49" fontId="0" fillId="9" borderId="1" xfId="0" applyNumberFormat="1" applyFill="1" applyBorder="1" applyAlignment="1">
      <alignment horizontal="center" vertical="center" wrapText="1"/>
    </xf>
    <xf numFmtId="0" fontId="1" fillId="6" borderId="1" xfId="0" applyFont="1" applyFill="1" applyBorder="1"/>
    <xf numFmtId="49" fontId="0" fillId="0" borderId="1" xfId="0" applyNumberForma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right"/>
    </xf>
    <xf numFmtId="0" fontId="0" fillId="9" borderId="1" xfId="0" applyFill="1" applyBorder="1"/>
    <xf numFmtId="164" fontId="0" fillId="9" borderId="1" xfId="0" applyNumberFormat="1" applyFill="1" applyBorder="1"/>
    <xf numFmtId="49" fontId="0" fillId="9" borderId="1" xfId="0" applyNumberForma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center"/>
    </xf>
    <xf numFmtId="164" fontId="0" fillId="9" borderId="1" xfId="0" applyNumberForma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right"/>
    </xf>
    <xf numFmtId="0" fontId="3" fillId="9" borderId="1" xfId="0" applyFont="1" applyFill="1" applyBorder="1"/>
    <xf numFmtId="164" fontId="3" fillId="9" borderId="1" xfId="0" applyNumberFormat="1" applyFont="1" applyFill="1" applyBorder="1"/>
    <xf numFmtId="164" fontId="0" fillId="9" borderId="0" xfId="0" applyNumberFormat="1" applyFill="1"/>
    <xf numFmtId="0" fontId="0" fillId="2" borderId="2" xfId="0" applyFill="1" applyBorder="1" applyAlignment="1">
      <alignment horizontal="center" vertical="center"/>
    </xf>
    <xf numFmtId="164" fontId="0" fillId="9" borderId="2" xfId="0" applyNumberFormat="1" applyFill="1" applyBorder="1"/>
    <xf numFmtId="164" fontId="0" fillId="3" borderId="2" xfId="0" applyNumberFormat="1" applyFill="1" applyBorder="1"/>
    <xf numFmtId="164" fontId="0" fillId="5" borderId="2" xfId="0" applyNumberFormat="1" applyFill="1" applyBorder="1"/>
    <xf numFmtId="164" fontId="0" fillId="6" borderId="2" xfId="0" applyNumberFormat="1" applyFill="1" applyBorder="1"/>
    <xf numFmtId="164" fontId="0" fillId="7" borderId="2" xfId="0" applyNumberFormat="1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0" fillId="0" borderId="1" xfId="0" applyFont="1" applyBorder="1"/>
    <xf numFmtId="0" fontId="11" fillId="0" borderId="1" xfId="0" applyFont="1" applyBorder="1"/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10" borderId="1" xfId="0" applyNumberForma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164" fontId="7" fillId="11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showGridLines="0" tabSelected="1" zoomScaleNormal="100" workbookViewId="0"/>
  </sheetViews>
  <sheetFormatPr defaultRowHeight="15" x14ac:dyDescent="0.25"/>
  <cols>
    <col min="1" max="1" width="4.140625" bestFit="1" customWidth="1"/>
    <col min="2" max="2" width="48.85546875" bestFit="1" customWidth="1"/>
    <col min="3" max="3" width="14.42578125" bestFit="1" customWidth="1"/>
    <col min="4" max="4" width="12.85546875" bestFit="1" customWidth="1"/>
    <col min="5" max="5" width="11.42578125" bestFit="1" customWidth="1"/>
    <col min="6" max="9" width="12.85546875" bestFit="1" customWidth="1"/>
  </cols>
  <sheetData>
    <row r="1" spans="1:9" x14ac:dyDescent="0.25">
      <c r="B1" t="s">
        <v>101</v>
      </c>
    </row>
    <row r="2" spans="1:9" ht="21.6" customHeight="1" x14ac:dyDescent="0.25">
      <c r="A2" s="1" t="s">
        <v>0</v>
      </c>
      <c r="B2" s="2" t="s">
        <v>1</v>
      </c>
      <c r="C2" s="2" t="s">
        <v>87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5.75" x14ac:dyDescent="0.25">
      <c r="A3" s="3" t="s">
        <v>21</v>
      </c>
      <c r="B3" s="7" t="s">
        <v>20</v>
      </c>
      <c r="C3" s="29">
        <f t="shared" ref="C3:I3" si="0">SUM(C4:C22)</f>
        <v>4723640.9090909092</v>
      </c>
      <c r="D3" s="27">
        <f t="shared" si="0"/>
        <v>2168352.2727272725</v>
      </c>
      <c r="E3" s="27">
        <f t="shared" si="0"/>
        <v>8000</v>
      </c>
      <c r="F3" s="27">
        <f t="shared" si="0"/>
        <v>1192593.7499999998</v>
      </c>
      <c r="G3" s="27">
        <f t="shared" si="0"/>
        <v>1287327.8409090906</v>
      </c>
      <c r="H3" s="27">
        <f t="shared" si="0"/>
        <v>57367.045454545449</v>
      </c>
      <c r="I3" s="27">
        <f t="shared" si="0"/>
        <v>10000</v>
      </c>
    </row>
    <row r="4" spans="1:9" x14ac:dyDescent="0.25">
      <c r="A4" s="4" t="s">
        <v>22</v>
      </c>
      <c r="B4" s="6" t="s">
        <v>34</v>
      </c>
      <c r="C4" s="22">
        <f t="shared" ref="C4:C22" si="1">SUM(D4:I4)</f>
        <v>4336704.5454545449</v>
      </c>
      <c r="D4" s="13">
        <f>Оборудование!F73/2</f>
        <v>2168352.2727272725</v>
      </c>
      <c r="E4" s="13"/>
      <c r="F4" s="13">
        <f>Оборудование!F73/4</f>
        <v>1084176.1363636362</v>
      </c>
      <c r="G4" s="13">
        <f>Оборудование!F73/4</f>
        <v>1084176.1363636362</v>
      </c>
      <c r="H4" s="13"/>
      <c r="I4" s="13"/>
    </row>
    <row r="5" spans="1:9" x14ac:dyDescent="0.25">
      <c r="A5" s="4" t="s">
        <v>23</v>
      </c>
      <c r="B5" s="6" t="s">
        <v>35</v>
      </c>
      <c r="C5" s="22">
        <f t="shared" si="1"/>
        <v>0</v>
      </c>
      <c r="D5" s="13"/>
      <c r="E5" s="13"/>
      <c r="F5" s="13"/>
      <c r="G5" s="13"/>
      <c r="H5" s="13"/>
      <c r="I5" s="13"/>
    </row>
    <row r="6" spans="1:9" x14ac:dyDescent="0.25">
      <c r="A6" s="4" t="s">
        <v>24</v>
      </c>
      <c r="B6" s="6" t="s">
        <v>246</v>
      </c>
      <c r="C6" s="22">
        <f t="shared" si="1"/>
        <v>0</v>
      </c>
      <c r="D6" s="13"/>
      <c r="E6" s="13"/>
      <c r="F6" s="13"/>
      <c r="G6" s="13"/>
      <c r="H6" s="13"/>
      <c r="I6" s="13"/>
    </row>
    <row r="7" spans="1:9" x14ac:dyDescent="0.25">
      <c r="A7" s="4" t="s">
        <v>25</v>
      </c>
      <c r="B7" s="6" t="s">
        <v>36</v>
      </c>
      <c r="C7" s="22">
        <f t="shared" si="1"/>
        <v>0</v>
      </c>
      <c r="D7" s="13"/>
      <c r="E7" s="13"/>
      <c r="F7" s="13"/>
      <c r="G7" s="13"/>
      <c r="H7" s="13"/>
      <c r="I7" s="13"/>
    </row>
    <row r="8" spans="1:9" x14ac:dyDescent="0.25">
      <c r="A8" s="4" t="s">
        <v>26</v>
      </c>
      <c r="B8" s="6" t="s">
        <v>228</v>
      </c>
      <c r="C8" s="22">
        <f t="shared" si="1"/>
        <v>28000</v>
      </c>
      <c r="D8" s="13"/>
      <c r="E8" s="13"/>
      <c r="F8" s="13"/>
      <c r="G8" s="13">
        <v>8000</v>
      </c>
      <c r="H8" s="13">
        <v>10000</v>
      </c>
      <c r="I8" s="13">
        <v>10000</v>
      </c>
    </row>
    <row r="9" spans="1:9" x14ac:dyDescent="0.25">
      <c r="A9" s="4" t="s">
        <v>27</v>
      </c>
      <c r="B9" s="6" t="s">
        <v>39</v>
      </c>
      <c r="C9" s="22">
        <f t="shared" si="1"/>
        <v>0</v>
      </c>
      <c r="D9" s="13"/>
      <c r="E9" s="13"/>
      <c r="F9" s="13"/>
      <c r="G9" s="13"/>
      <c r="H9" s="13"/>
      <c r="I9" s="13"/>
    </row>
    <row r="10" spans="1:9" x14ac:dyDescent="0.25">
      <c r="A10" s="4" t="s">
        <v>28</v>
      </c>
      <c r="B10" s="6" t="s">
        <v>107</v>
      </c>
      <c r="C10" s="22">
        <f t="shared" si="1"/>
        <v>0</v>
      </c>
      <c r="D10" s="13"/>
      <c r="E10" s="13"/>
      <c r="F10" s="13"/>
      <c r="G10" s="13"/>
      <c r="H10" s="13"/>
      <c r="I10" s="13"/>
    </row>
    <row r="11" spans="1:9" x14ac:dyDescent="0.25">
      <c r="A11" s="4" t="s">
        <v>29</v>
      </c>
      <c r="B11" s="6" t="s">
        <v>40</v>
      </c>
      <c r="C11" s="22">
        <f t="shared" si="1"/>
        <v>0</v>
      </c>
      <c r="D11" s="13"/>
      <c r="E11" s="13"/>
      <c r="F11" s="13"/>
      <c r="G11" s="13"/>
      <c r="H11" s="13"/>
      <c r="I11" s="13"/>
    </row>
    <row r="12" spans="1:9" x14ac:dyDescent="0.25">
      <c r="A12" s="4" t="s">
        <v>30</v>
      </c>
      <c r="B12" s="6" t="s">
        <v>41</v>
      </c>
      <c r="C12" s="22">
        <f t="shared" si="1"/>
        <v>0</v>
      </c>
      <c r="D12" s="13"/>
      <c r="E12" s="13"/>
      <c r="F12" s="13"/>
      <c r="G12" s="13"/>
      <c r="H12" s="13"/>
      <c r="I12" s="13"/>
    </row>
    <row r="13" spans="1:9" x14ac:dyDescent="0.25">
      <c r="A13" s="4" t="s">
        <v>31</v>
      </c>
      <c r="B13" s="6" t="s">
        <v>42</v>
      </c>
      <c r="C13" s="22">
        <f t="shared" si="1"/>
        <v>0</v>
      </c>
      <c r="D13" s="13"/>
      <c r="E13" s="13"/>
      <c r="F13" s="13"/>
      <c r="G13" s="13"/>
      <c r="H13" s="13"/>
      <c r="I13" s="13"/>
    </row>
    <row r="14" spans="1:9" x14ac:dyDescent="0.25">
      <c r="A14" s="4" t="s">
        <v>32</v>
      </c>
      <c r="B14" s="6" t="s">
        <v>199</v>
      </c>
      <c r="C14" s="22">
        <f t="shared" si="1"/>
        <v>0</v>
      </c>
      <c r="D14" s="13"/>
      <c r="E14" s="13"/>
      <c r="F14" s="13"/>
      <c r="G14" s="13"/>
      <c r="H14" s="13"/>
      <c r="I14" s="13"/>
    </row>
    <row r="15" spans="1:9" x14ac:dyDescent="0.25">
      <c r="A15" s="4" t="s">
        <v>33</v>
      </c>
      <c r="B15" s="6" t="s">
        <v>263</v>
      </c>
      <c r="C15" s="22">
        <f t="shared" si="1"/>
        <v>216835.22727272726</v>
      </c>
      <c r="D15" s="13"/>
      <c r="E15" s="13"/>
      <c r="F15" s="13">
        <f>$C$4*0.05/2</f>
        <v>108417.61363636363</v>
      </c>
      <c r="G15" s="13">
        <f>$C$4*0.05/2</f>
        <v>108417.61363636363</v>
      </c>
      <c r="H15" s="13"/>
      <c r="I15" s="13"/>
    </row>
    <row r="16" spans="1:9" x14ac:dyDescent="0.25">
      <c r="A16" s="4" t="s">
        <v>47</v>
      </c>
      <c r="B16" s="6" t="s">
        <v>262</v>
      </c>
      <c r="C16" s="22">
        <f t="shared" si="1"/>
        <v>130101.13636363635</v>
      </c>
      <c r="D16" s="13"/>
      <c r="E16" s="13"/>
      <c r="F16" s="13"/>
      <c r="G16" s="13">
        <f>$C$4*0.04/2</f>
        <v>86734.090909090897</v>
      </c>
      <c r="H16" s="13">
        <f>$C$4*0.02/2</f>
        <v>43367.045454545449</v>
      </c>
      <c r="I16" s="13"/>
    </row>
    <row r="17" spans="1:9" x14ac:dyDescent="0.25">
      <c r="A17" s="4" t="s">
        <v>48</v>
      </c>
      <c r="B17" s="6" t="s">
        <v>233</v>
      </c>
      <c r="C17" s="22">
        <f t="shared" si="1"/>
        <v>0</v>
      </c>
      <c r="D17" s="13"/>
      <c r="E17" s="13"/>
      <c r="F17" s="13"/>
      <c r="G17" s="13"/>
      <c r="H17" s="13"/>
      <c r="I17" s="13"/>
    </row>
    <row r="18" spans="1:9" x14ac:dyDescent="0.25">
      <c r="A18" s="4" t="s">
        <v>49</v>
      </c>
      <c r="B18" s="6" t="s">
        <v>71</v>
      </c>
      <c r="C18" s="22">
        <f t="shared" si="1"/>
        <v>0</v>
      </c>
      <c r="D18" s="13"/>
      <c r="E18" s="13"/>
      <c r="F18" s="13"/>
      <c r="G18" s="13"/>
      <c r="H18" s="13"/>
      <c r="I18" s="13"/>
    </row>
    <row r="19" spans="1:9" x14ac:dyDescent="0.25">
      <c r="A19" s="4" t="s">
        <v>50</v>
      </c>
      <c r="B19" s="6" t="s">
        <v>43</v>
      </c>
      <c r="C19" s="22">
        <f t="shared" si="1"/>
        <v>0</v>
      </c>
      <c r="D19" s="13"/>
      <c r="E19" s="13"/>
      <c r="F19" s="13"/>
      <c r="G19" s="13"/>
      <c r="H19" s="13"/>
      <c r="I19" s="13"/>
    </row>
    <row r="20" spans="1:9" x14ac:dyDescent="0.25">
      <c r="A20" s="4" t="s">
        <v>51</v>
      </c>
      <c r="B20" s="6" t="s">
        <v>44</v>
      </c>
      <c r="C20" s="22">
        <f t="shared" si="1"/>
        <v>12000</v>
      </c>
      <c r="D20" s="13"/>
      <c r="E20" s="13">
        <v>8000</v>
      </c>
      <c r="F20" s="13"/>
      <c r="G20" s="13"/>
      <c r="H20" s="13">
        <v>4000</v>
      </c>
      <c r="I20" s="13"/>
    </row>
    <row r="21" spans="1:9" x14ac:dyDescent="0.25">
      <c r="A21" s="4" t="s">
        <v>229</v>
      </c>
      <c r="B21" s="6" t="s">
        <v>65</v>
      </c>
      <c r="C21" s="22">
        <f t="shared" si="1"/>
        <v>0</v>
      </c>
      <c r="D21" s="13"/>
      <c r="E21" s="13"/>
      <c r="F21" s="13"/>
      <c r="G21" s="13"/>
      <c r="H21" s="13"/>
      <c r="I21" s="13"/>
    </row>
    <row r="22" spans="1:9" x14ac:dyDescent="0.25">
      <c r="A22" s="4" t="s">
        <v>230</v>
      </c>
      <c r="B22" s="6" t="s">
        <v>232</v>
      </c>
      <c r="C22" s="22">
        <f t="shared" si="1"/>
        <v>0</v>
      </c>
      <c r="D22" s="13"/>
      <c r="E22" s="13"/>
      <c r="F22" s="13"/>
      <c r="G22" s="13"/>
      <c r="H22" s="13"/>
      <c r="I22" s="13"/>
    </row>
    <row r="23" spans="1:9" x14ac:dyDescent="0.25">
      <c r="A23" s="4"/>
      <c r="B23" s="11"/>
      <c r="C23" s="24"/>
      <c r="D23" s="15"/>
      <c r="E23" s="15"/>
      <c r="F23" s="15"/>
      <c r="G23" s="15"/>
      <c r="H23" s="15"/>
      <c r="I23" s="1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46"/>
  <sheetViews>
    <sheetView showGridLines="0" zoomScaleNormal="100" workbookViewId="0"/>
  </sheetViews>
  <sheetFormatPr defaultRowHeight="15" outlineLevelRow="1" outlineLevelCol="1" x14ac:dyDescent="0.25"/>
  <cols>
    <col min="1" max="1" width="4.140625" bestFit="1" customWidth="1"/>
    <col min="2" max="2" width="53" bestFit="1" customWidth="1"/>
    <col min="3" max="3" width="14.42578125" customWidth="1" outlineLevel="1"/>
    <col min="4" max="4" width="12.85546875" customWidth="1" outlineLevel="1"/>
    <col min="5" max="5" width="12" customWidth="1" outlineLevel="1"/>
    <col min="6" max="14" width="12.85546875" customWidth="1" outlineLevel="1"/>
    <col min="15" max="33" width="13.85546875" customWidth="1" outlineLevel="1"/>
    <col min="34" max="34" width="3" customWidth="1"/>
    <col min="35" max="35" width="13.5703125" bestFit="1" customWidth="1"/>
    <col min="36" max="39" width="14.5703125" bestFit="1" customWidth="1"/>
    <col min="40" max="40" width="15.5703125" customWidth="1"/>
  </cols>
  <sheetData>
    <row r="1" spans="1:40" x14ac:dyDescent="0.25">
      <c r="B1" t="s">
        <v>102</v>
      </c>
    </row>
    <row r="2" spans="1:40" ht="21.6" customHeight="1" x14ac:dyDescent="0.25">
      <c r="A2" s="1" t="s">
        <v>0</v>
      </c>
      <c r="B2" s="2" t="s">
        <v>1</v>
      </c>
      <c r="C2" s="2" t="s">
        <v>87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289</v>
      </c>
      <c r="W2" s="2" t="s">
        <v>290</v>
      </c>
      <c r="X2" s="2" t="s">
        <v>291</v>
      </c>
      <c r="Y2" s="2" t="s">
        <v>292</v>
      </c>
      <c r="Z2" s="2" t="s">
        <v>293</v>
      </c>
      <c r="AA2" s="2" t="s">
        <v>294</v>
      </c>
      <c r="AB2" s="2" t="s">
        <v>298</v>
      </c>
      <c r="AC2" s="2" t="s">
        <v>299</v>
      </c>
      <c r="AD2" s="2" t="s">
        <v>300</v>
      </c>
      <c r="AE2" s="2" t="s">
        <v>301</v>
      </c>
      <c r="AF2" s="2" t="s">
        <v>302</v>
      </c>
      <c r="AG2" s="2" t="s">
        <v>303</v>
      </c>
      <c r="AH2" s="18"/>
      <c r="AI2" s="58" t="s">
        <v>234</v>
      </c>
      <c r="AJ2" s="2" t="s">
        <v>235</v>
      </c>
      <c r="AK2" s="2" t="s">
        <v>236</v>
      </c>
      <c r="AL2" s="2" t="s">
        <v>237</v>
      </c>
      <c r="AM2" s="2" t="s">
        <v>238</v>
      </c>
      <c r="AN2" s="2" t="s">
        <v>252</v>
      </c>
    </row>
    <row r="3" spans="1:40" ht="15.75" x14ac:dyDescent="0.25">
      <c r="A3" s="3" t="s">
        <v>21</v>
      </c>
      <c r="B3" s="55" t="s">
        <v>20</v>
      </c>
      <c r="C3" s="56">
        <f>SUM(C4:C22)</f>
        <v>7958919.5333333332</v>
      </c>
      <c r="D3" s="49">
        <f t="shared" ref="D3:AG3" si="0">SUM(D4:D22)</f>
        <v>258203</v>
      </c>
      <c r="E3" s="49">
        <f t="shared" si="0"/>
        <v>247769.33333333328</v>
      </c>
      <c r="F3" s="49">
        <f t="shared" si="0"/>
        <v>252548</v>
      </c>
      <c r="G3" s="49">
        <f t="shared" si="0"/>
        <v>259716</v>
      </c>
      <c r="H3" s="49">
        <f t="shared" si="0"/>
        <v>262583.2</v>
      </c>
      <c r="I3" s="49">
        <f t="shared" si="0"/>
        <v>266884</v>
      </c>
      <c r="J3" s="49">
        <f t="shared" si="0"/>
        <v>269884</v>
      </c>
      <c r="K3" s="49">
        <f t="shared" si="0"/>
        <v>266884</v>
      </c>
      <c r="L3" s="49">
        <f t="shared" si="0"/>
        <v>266884</v>
      </c>
      <c r="M3" s="49">
        <f t="shared" si="0"/>
        <v>266884</v>
      </c>
      <c r="N3" s="49">
        <f t="shared" si="0"/>
        <v>266884</v>
      </c>
      <c r="O3" s="49">
        <f t="shared" si="0"/>
        <v>266884</v>
      </c>
      <c r="P3" s="49">
        <f t="shared" si="0"/>
        <v>266884</v>
      </c>
      <c r="Q3" s="49">
        <f t="shared" si="0"/>
        <v>266884</v>
      </c>
      <c r="R3" s="49">
        <f t="shared" si="0"/>
        <v>269884</v>
      </c>
      <c r="S3" s="49">
        <f t="shared" si="0"/>
        <v>266884</v>
      </c>
      <c r="T3" s="49">
        <f t="shared" si="0"/>
        <v>266884</v>
      </c>
      <c r="U3" s="49">
        <f t="shared" ref="U3:AF3" si="1">SUM(U4:U22)</f>
        <v>266884</v>
      </c>
      <c r="V3" s="49">
        <f t="shared" si="1"/>
        <v>266884</v>
      </c>
      <c r="W3" s="49">
        <f t="shared" si="1"/>
        <v>266884</v>
      </c>
      <c r="X3" s="49">
        <f t="shared" ref="X3:AC3" si="2">SUM(X4:X22)</f>
        <v>266884</v>
      </c>
      <c r="Y3" s="49">
        <f t="shared" si="2"/>
        <v>266884</v>
      </c>
      <c r="Z3" s="49">
        <f t="shared" si="2"/>
        <v>266884</v>
      </c>
      <c r="AA3" s="49">
        <f t="shared" si="2"/>
        <v>266884</v>
      </c>
      <c r="AB3" s="49">
        <f t="shared" si="2"/>
        <v>266884</v>
      </c>
      <c r="AC3" s="49">
        <f t="shared" si="2"/>
        <v>266884</v>
      </c>
      <c r="AD3" s="49">
        <f t="shared" si="1"/>
        <v>266884</v>
      </c>
      <c r="AE3" s="49">
        <f t="shared" si="1"/>
        <v>266884</v>
      </c>
      <c r="AF3" s="49">
        <f t="shared" si="1"/>
        <v>266884</v>
      </c>
      <c r="AG3" s="49">
        <f t="shared" si="0"/>
        <v>266884</v>
      </c>
      <c r="AH3" s="64"/>
      <c r="AI3" s="59">
        <f>SUM(AI4:AI22)</f>
        <v>3152007.5333333327</v>
      </c>
      <c r="AJ3" s="49">
        <f t="shared" ref="AJ3:AM3" si="3">SUM(AJ4:AJ22)</f>
        <v>3205608</v>
      </c>
      <c r="AK3" s="49">
        <f t="shared" si="3"/>
        <v>3205608</v>
      </c>
      <c r="AL3" s="49">
        <f t="shared" si="3"/>
        <v>3205608</v>
      </c>
      <c r="AM3" s="49">
        <f t="shared" si="3"/>
        <v>3205608</v>
      </c>
      <c r="AN3" s="49">
        <f>SUM(AI3:AM3)</f>
        <v>15974439.533333333</v>
      </c>
    </row>
    <row r="4" spans="1:40" outlineLevel="1" x14ac:dyDescent="0.25">
      <c r="A4" s="4" t="s">
        <v>22</v>
      </c>
      <c r="B4" s="6" t="s">
        <v>247</v>
      </c>
      <c r="C4" s="22">
        <f t="shared" ref="C4:C22" si="4">SUM(D4:AG4)</f>
        <v>0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7"/>
      <c r="AH4" s="67"/>
      <c r="AI4" s="60">
        <f t="shared" ref="AI4:AI22" si="5">SUM(D4:O4)</f>
        <v>0</v>
      </c>
      <c r="AJ4" s="13">
        <f>SUM(P4:AA4)</f>
        <v>0</v>
      </c>
      <c r="AK4" s="13">
        <f>AJ4</f>
        <v>0</v>
      </c>
      <c r="AL4" s="13">
        <f t="shared" ref="AL4:AM4" si="6">AK4</f>
        <v>0</v>
      </c>
      <c r="AM4" s="13">
        <f t="shared" si="6"/>
        <v>0</v>
      </c>
      <c r="AN4" s="13">
        <f>SUM(AI4:AM4)</f>
        <v>0</v>
      </c>
    </row>
    <row r="5" spans="1:40" outlineLevel="1" x14ac:dyDescent="0.25">
      <c r="A5" s="4" t="s">
        <v>23</v>
      </c>
      <c r="B5" s="6" t="s">
        <v>36</v>
      </c>
      <c r="C5" s="22">
        <f t="shared" si="4"/>
        <v>0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7"/>
      <c r="AH5" s="67"/>
      <c r="AI5" s="60">
        <f t="shared" si="5"/>
        <v>0</v>
      </c>
      <c r="AJ5" s="13">
        <f t="shared" ref="AJ5:AJ22" si="7">SUM(P5:AA5)</f>
        <v>0</v>
      </c>
      <c r="AK5" s="13">
        <f t="shared" ref="AK5:AM22" si="8">AJ5</f>
        <v>0</v>
      </c>
      <c r="AL5" s="13">
        <f t="shared" si="8"/>
        <v>0</v>
      </c>
      <c r="AM5" s="13">
        <f t="shared" si="8"/>
        <v>0</v>
      </c>
      <c r="AN5" s="13">
        <f t="shared" ref="AN5:AN22" si="9">SUM(AI5:AM5)</f>
        <v>0</v>
      </c>
    </row>
    <row r="6" spans="1:40" outlineLevel="1" x14ac:dyDescent="0.25">
      <c r="A6" s="4" t="s">
        <v>24</v>
      </c>
      <c r="B6" s="6" t="s">
        <v>37</v>
      </c>
      <c r="C6" s="22">
        <f t="shared" si="4"/>
        <v>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7"/>
      <c r="AH6" s="67"/>
      <c r="AI6" s="60">
        <f t="shared" si="5"/>
        <v>0</v>
      </c>
      <c r="AJ6" s="13">
        <f t="shared" si="7"/>
        <v>0</v>
      </c>
      <c r="AK6" s="13">
        <f t="shared" si="8"/>
        <v>0</v>
      </c>
      <c r="AL6" s="13">
        <f t="shared" si="8"/>
        <v>0</v>
      </c>
      <c r="AM6" s="13">
        <f t="shared" si="8"/>
        <v>0</v>
      </c>
      <c r="AN6" s="13">
        <f t="shared" si="9"/>
        <v>0</v>
      </c>
    </row>
    <row r="7" spans="1:40" outlineLevel="1" x14ac:dyDescent="0.25">
      <c r="A7" s="4" t="s">
        <v>25</v>
      </c>
      <c r="B7" s="6" t="s">
        <v>52</v>
      </c>
      <c r="C7" s="22">
        <f t="shared" si="4"/>
        <v>2307000</v>
      </c>
      <c r="D7" s="13">
        <f>'Штатное расписание'!$F$46</f>
        <v>76900</v>
      </c>
      <c r="E7" s="13">
        <f>'Штатное расписание'!$F$46</f>
        <v>76900</v>
      </c>
      <c r="F7" s="13">
        <f>'Штатное расписание'!$F$46</f>
        <v>76900</v>
      </c>
      <c r="G7" s="13">
        <f>'Штатное расписание'!$F$46</f>
        <v>76900</v>
      </c>
      <c r="H7" s="13">
        <f>'Штатное расписание'!$F$46</f>
        <v>76900</v>
      </c>
      <c r="I7" s="13">
        <f>'Штатное расписание'!$F$46</f>
        <v>76900</v>
      </c>
      <c r="J7" s="13">
        <f>'Штатное расписание'!$F$46</f>
        <v>76900</v>
      </c>
      <c r="K7" s="13">
        <f>'Штатное расписание'!$F$46</f>
        <v>76900</v>
      </c>
      <c r="L7" s="13">
        <f>'Штатное расписание'!$F$46</f>
        <v>76900</v>
      </c>
      <c r="M7" s="13">
        <f>'Штатное расписание'!$F$46</f>
        <v>76900</v>
      </c>
      <c r="N7" s="13">
        <f>'Штатное расписание'!$F$46</f>
        <v>76900</v>
      </c>
      <c r="O7" s="13">
        <f>'Штатное расписание'!$F$46</f>
        <v>76900</v>
      </c>
      <c r="P7" s="13">
        <f>'Штатное расписание'!$F$46</f>
        <v>76900</v>
      </c>
      <c r="Q7" s="13">
        <f>'Штатное расписание'!$F$46</f>
        <v>76900</v>
      </c>
      <c r="R7" s="13">
        <f>'Штатное расписание'!$F$46</f>
        <v>76900</v>
      </c>
      <c r="S7" s="13">
        <f>'Штатное расписание'!$F$46</f>
        <v>76900</v>
      </c>
      <c r="T7" s="13">
        <f>'Штатное расписание'!$F$46</f>
        <v>76900</v>
      </c>
      <c r="U7" s="13">
        <f>'Штатное расписание'!$F$46</f>
        <v>76900</v>
      </c>
      <c r="V7" s="13">
        <f>'Штатное расписание'!$F$46</f>
        <v>76900</v>
      </c>
      <c r="W7" s="13">
        <f>'Штатное расписание'!$F$46</f>
        <v>76900</v>
      </c>
      <c r="X7" s="13">
        <f>'Штатное расписание'!$F$46</f>
        <v>76900</v>
      </c>
      <c r="Y7" s="13">
        <f>'Штатное расписание'!$F$46</f>
        <v>76900</v>
      </c>
      <c r="Z7" s="13">
        <f>'Штатное расписание'!$F$46</f>
        <v>76900</v>
      </c>
      <c r="AA7" s="13">
        <f>'Штатное расписание'!$F$46</f>
        <v>76900</v>
      </c>
      <c r="AB7" s="13">
        <f>'Штатное расписание'!$F$46</f>
        <v>76900</v>
      </c>
      <c r="AC7" s="13">
        <f>'Штатное расписание'!$F$46</f>
        <v>76900</v>
      </c>
      <c r="AD7" s="13">
        <f>'Штатное расписание'!$F$46</f>
        <v>76900</v>
      </c>
      <c r="AE7" s="13">
        <f>'Штатное расписание'!$F$46</f>
        <v>76900</v>
      </c>
      <c r="AF7" s="13">
        <f>'Штатное расписание'!$F$46</f>
        <v>76900</v>
      </c>
      <c r="AG7" s="17">
        <f>'Штатное расписание'!$F$46</f>
        <v>76900</v>
      </c>
      <c r="AH7" s="67"/>
      <c r="AI7" s="60">
        <f t="shared" si="5"/>
        <v>922800</v>
      </c>
      <c r="AJ7" s="13">
        <f t="shared" si="7"/>
        <v>922800</v>
      </c>
      <c r="AK7" s="13">
        <f t="shared" si="8"/>
        <v>922800</v>
      </c>
      <c r="AL7" s="13">
        <f t="shared" si="8"/>
        <v>922800</v>
      </c>
      <c r="AM7" s="13">
        <f t="shared" si="8"/>
        <v>922800</v>
      </c>
      <c r="AN7" s="13">
        <f t="shared" si="9"/>
        <v>4614000</v>
      </c>
    </row>
    <row r="8" spans="1:40" outlineLevel="1" x14ac:dyDescent="0.25">
      <c r="A8" s="4" t="s">
        <v>26</v>
      </c>
      <c r="B8" s="6" t="s">
        <v>38</v>
      </c>
      <c r="C8" s="22">
        <f t="shared" si="4"/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7"/>
      <c r="AH8" s="67"/>
      <c r="AI8" s="60">
        <f t="shared" si="5"/>
        <v>0</v>
      </c>
      <c r="AJ8" s="13">
        <f t="shared" si="7"/>
        <v>0</v>
      </c>
      <c r="AK8" s="13">
        <f t="shared" si="8"/>
        <v>0</v>
      </c>
      <c r="AL8" s="13">
        <f t="shared" si="8"/>
        <v>0</v>
      </c>
      <c r="AM8" s="13">
        <f t="shared" si="8"/>
        <v>0</v>
      </c>
      <c r="AN8" s="13">
        <f t="shared" si="9"/>
        <v>0</v>
      </c>
    </row>
    <row r="9" spans="1:40" outlineLevel="1" x14ac:dyDescent="0.25">
      <c r="A9" s="4" t="s">
        <v>27</v>
      </c>
      <c r="B9" s="6" t="s">
        <v>103</v>
      </c>
      <c r="C9" s="22">
        <f t="shared" si="4"/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7"/>
      <c r="AH9" s="67"/>
      <c r="AI9" s="60">
        <f t="shared" si="5"/>
        <v>0</v>
      </c>
      <c r="AJ9" s="13">
        <f t="shared" si="7"/>
        <v>0</v>
      </c>
      <c r="AK9" s="13">
        <f t="shared" si="8"/>
        <v>0</v>
      </c>
      <c r="AL9" s="13">
        <f t="shared" si="8"/>
        <v>0</v>
      </c>
      <c r="AM9" s="13">
        <f t="shared" si="8"/>
        <v>0</v>
      </c>
      <c r="AN9" s="13">
        <f t="shared" si="9"/>
        <v>0</v>
      </c>
    </row>
    <row r="10" spans="1:40" outlineLevel="1" x14ac:dyDescent="0.25">
      <c r="A10" s="4" t="s">
        <v>28</v>
      </c>
      <c r="B10" s="6" t="s">
        <v>45</v>
      </c>
      <c r="C10" s="22">
        <f t="shared" si="4"/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7"/>
      <c r="AH10" s="67"/>
      <c r="AI10" s="60">
        <f t="shared" si="5"/>
        <v>0</v>
      </c>
      <c r="AJ10" s="13">
        <f t="shared" si="7"/>
        <v>0</v>
      </c>
      <c r="AK10" s="13">
        <f t="shared" si="8"/>
        <v>0</v>
      </c>
      <c r="AL10" s="13">
        <f t="shared" si="8"/>
        <v>0</v>
      </c>
      <c r="AM10" s="13">
        <f t="shared" si="8"/>
        <v>0</v>
      </c>
      <c r="AN10" s="13">
        <f t="shared" si="9"/>
        <v>0</v>
      </c>
    </row>
    <row r="11" spans="1:40" outlineLevel="1" x14ac:dyDescent="0.25">
      <c r="A11" s="4" t="s">
        <v>29</v>
      </c>
      <c r="B11" s="6" t="s">
        <v>46</v>
      </c>
      <c r="C11" s="22">
        <f t="shared" si="4"/>
        <v>0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7"/>
      <c r="AH11" s="67"/>
      <c r="AI11" s="60">
        <f t="shared" si="5"/>
        <v>0</v>
      </c>
      <c r="AJ11" s="13">
        <f t="shared" si="7"/>
        <v>0</v>
      </c>
      <c r="AK11" s="13">
        <f t="shared" si="8"/>
        <v>0</v>
      </c>
      <c r="AL11" s="13">
        <f t="shared" si="8"/>
        <v>0</v>
      </c>
      <c r="AM11" s="13">
        <f t="shared" si="8"/>
        <v>0</v>
      </c>
      <c r="AN11" s="13">
        <f t="shared" si="9"/>
        <v>0</v>
      </c>
    </row>
    <row r="12" spans="1:40" outlineLevel="1" x14ac:dyDescent="0.25">
      <c r="A12" s="4" t="s">
        <v>30</v>
      </c>
      <c r="B12" s="6" t="s">
        <v>65</v>
      </c>
      <c r="C12" s="22">
        <f t="shared" si="4"/>
        <v>0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7"/>
      <c r="AH12" s="67"/>
      <c r="AI12" s="60">
        <f t="shared" si="5"/>
        <v>0</v>
      </c>
      <c r="AJ12" s="13">
        <f t="shared" si="7"/>
        <v>0</v>
      </c>
      <c r="AK12" s="13">
        <f t="shared" si="8"/>
        <v>0</v>
      </c>
      <c r="AL12" s="13">
        <f t="shared" si="8"/>
        <v>0</v>
      </c>
      <c r="AM12" s="13">
        <f t="shared" si="8"/>
        <v>0</v>
      </c>
      <c r="AN12" s="13">
        <f t="shared" si="9"/>
        <v>0</v>
      </c>
    </row>
    <row r="13" spans="1:40" outlineLevel="1" x14ac:dyDescent="0.25">
      <c r="A13" s="4" t="s">
        <v>31</v>
      </c>
      <c r="B13" s="6" t="s">
        <v>69</v>
      </c>
      <c r="C13" s="22">
        <f t="shared" si="4"/>
        <v>30000</v>
      </c>
      <c r="D13" s="13">
        <v>1000</v>
      </c>
      <c r="E13" s="13">
        <v>1000</v>
      </c>
      <c r="F13" s="13">
        <v>1000</v>
      </c>
      <c r="G13" s="13">
        <v>1000</v>
      </c>
      <c r="H13" s="13">
        <v>1000</v>
      </c>
      <c r="I13" s="13">
        <v>1000</v>
      </c>
      <c r="J13" s="13">
        <v>1000</v>
      </c>
      <c r="K13" s="13">
        <v>1000</v>
      </c>
      <c r="L13" s="13">
        <v>1000</v>
      </c>
      <c r="M13" s="13">
        <v>1000</v>
      </c>
      <c r="N13" s="13">
        <v>1000</v>
      </c>
      <c r="O13" s="13">
        <v>1000</v>
      </c>
      <c r="P13" s="13">
        <v>1000</v>
      </c>
      <c r="Q13" s="13">
        <v>1000</v>
      </c>
      <c r="R13" s="13">
        <v>1000</v>
      </c>
      <c r="S13" s="13">
        <v>1000</v>
      </c>
      <c r="T13" s="13">
        <v>1000</v>
      </c>
      <c r="U13" s="13">
        <v>1000</v>
      </c>
      <c r="V13" s="13">
        <v>1000</v>
      </c>
      <c r="W13" s="13">
        <v>1000</v>
      </c>
      <c r="X13" s="13">
        <v>1000</v>
      </c>
      <c r="Y13" s="13">
        <v>1000</v>
      </c>
      <c r="Z13" s="13">
        <v>1000</v>
      </c>
      <c r="AA13" s="13">
        <v>1000</v>
      </c>
      <c r="AB13" s="13">
        <v>1000</v>
      </c>
      <c r="AC13" s="13">
        <v>1000</v>
      </c>
      <c r="AD13" s="13">
        <v>1000</v>
      </c>
      <c r="AE13" s="13">
        <v>1000</v>
      </c>
      <c r="AF13" s="13">
        <v>1000</v>
      </c>
      <c r="AG13" s="17">
        <v>1000</v>
      </c>
      <c r="AH13" s="67"/>
      <c r="AI13" s="60">
        <f t="shared" si="5"/>
        <v>12000</v>
      </c>
      <c r="AJ13" s="13">
        <f t="shared" si="7"/>
        <v>12000</v>
      </c>
      <c r="AK13" s="13">
        <f t="shared" si="8"/>
        <v>12000</v>
      </c>
      <c r="AL13" s="13">
        <f t="shared" si="8"/>
        <v>12000</v>
      </c>
      <c r="AM13" s="13">
        <f t="shared" si="8"/>
        <v>12000</v>
      </c>
      <c r="AN13" s="13">
        <f t="shared" si="9"/>
        <v>60000</v>
      </c>
    </row>
    <row r="14" spans="1:40" outlineLevel="1" x14ac:dyDescent="0.25">
      <c r="A14" s="4" t="s">
        <v>32</v>
      </c>
      <c r="B14" s="6" t="s">
        <v>70</v>
      </c>
      <c r="C14" s="22">
        <f t="shared" si="4"/>
        <v>251201.53333333333</v>
      </c>
      <c r="D14" s="13">
        <f>D$23*0.01</f>
        <v>3913</v>
      </c>
      <c r="E14" s="13">
        <f>E$23*0.02</f>
        <v>7429.333333333333</v>
      </c>
      <c r="F14" s="13">
        <f t="shared" ref="F14:AG14" si="10">F$23*0.02</f>
        <v>7728</v>
      </c>
      <c r="G14" s="13">
        <f t="shared" si="10"/>
        <v>8176</v>
      </c>
      <c r="H14" s="13">
        <f t="shared" si="10"/>
        <v>8355.2000000000007</v>
      </c>
      <c r="I14" s="13">
        <f t="shared" si="10"/>
        <v>8624</v>
      </c>
      <c r="J14" s="13">
        <f t="shared" si="10"/>
        <v>8624</v>
      </c>
      <c r="K14" s="13">
        <f t="shared" si="10"/>
        <v>8624</v>
      </c>
      <c r="L14" s="13">
        <f t="shared" si="10"/>
        <v>8624</v>
      </c>
      <c r="M14" s="13">
        <f t="shared" si="10"/>
        <v>8624</v>
      </c>
      <c r="N14" s="13">
        <f t="shared" si="10"/>
        <v>8624</v>
      </c>
      <c r="O14" s="13">
        <f t="shared" si="10"/>
        <v>8624</v>
      </c>
      <c r="P14" s="13">
        <f t="shared" si="10"/>
        <v>8624</v>
      </c>
      <c r="Q14" s="13">
        <f t="shared" si="10"/>
        <v>8624</v>
      </c>
      <c r="R14" s="13">
        <f t="shared" si="10"/>
        <v>8624</v>
      </c>
      <c r="S14" s="13">
        <f t="shared" si="10"/>
        <v>8624</v>
      </c>
      <c r="T14" s="13">
        <f t="shared" si="10"/>
        <v>8624</v>
      </c>
      <c r="U14" s="13">
        <f t="shared" si="10"/>
        <v>8624</v>
      </c>
      <c r="V14" s="13">
        <f t="shared" si="10"/>
        <v>8624</v>
      </c>
      <c r="W14" s="13">
        <f t="shared" si="10"/>
        <v>8624</v>
      </c>
      <c r="X14" s="13">
        <f t="shared" si="10"/>
        <v>8624</v>
      </c>
      <c r="Y14" s="13">
        <f t="shared" si="10"/>
        <v>8624</v>
      </c>
      <c r="Z14" s="13">
        <f t="shared" si="10"/>
        <v>8624</v>
      </c>
      <c r="AA14" s="13">
        <f t="shared" si="10"/>
        <v>8624</v>
      </c>
      <c r="AB14" s="13">
        <f t="shared" si="10"/>
        <v>8624</v>
      </c>
      <c r="AC14" s="13">
        <f t="shared" si="10"/>
        <v>8624</v>
      </c>
      <c r="AD14" s="13">
        <f t="shared" si="10"/>
        <v>8624</v>
      </c>
      <c r="AE14" s="13">
        <f t="shared" si="10"/>
        <v>8624</v>
      </c>
      <c r="AF14" s="13">
        <f t="shared" si="10"/>
        <v>8624</v>
      </c>
      <c r="AG14" s="17">
        <f t="shared" si="10"/>
        <v>8624</v>
      </c>
      <c r="AH14" s="67"/>
      <c r="AI14" s="60">
        <f t="shared" si="5"/>
        <v>95969.533333333326</v>
      </c>
      <c r="AJ14" s="13">
        <f t="shared" si="7"/>
        <v>103488</v>
      </c>
      <c r="AK14" s="13">
        <f t="shared" si="8"/>
        <v>103488</v>
      </c>
      <c r="AL14" s="13">
        <f t="shared" si="8"/>
        <v>103488</v>
      </c>
      <c r="AM14" s="13">
        <f t="shared" si="8"/>
        <v>103488</v>
      </c>
      <c r="AN14" s="13">
        <f t="shared" si="9"/>
        <v>509921.53333333333</v>
      </c>
    </row>
    <row r="15" spans="1:40" outlineLevel="1" x14ac:dyDescent="0.25">
      <c r="A15" s="4" t="s">
        <v>33</v>
      </c>
      <c r="B15" s="6" t="s">
        <v>72</v>
      </c>
      <c r="C15" s="22">
        <f t="shared" si="4"/>
        <v>74000</v>
      </c>
      <c r="D15" s="13">
        <v>10000</v>
      </c>
      <c r="E15" s="13">
        <v>2000</v>
      </c>
      <c r="F15" s="13">
        <v>2000</v>
      </c>
      <c r="G15" s="13">
        <v>2000</v>
      </c>
      <c r="H15" s="13">
        <v>2000</v>
      </c>
      <c r="I15" s="13">
        <v>2000</v>
      </c>
      <c r="J15" s="13">
        <v>5000</v>
      </c>
      <c r="K15" s="13">
        <v>2000</v>
      </c>
      <c r="L15" s="13">
        <v>2000</v>
      </c>
      <c r="M15" s="13">
        <v>2000</v>
      </c>
      <c r="N15" s="13">
        <v>2000</v>
      </c>
      <c r="O15" s="13">
        <v>2000</v>
      </c>
      <c r="P15" s="13">
        <v>2000</v>
      </c>
      <c r="Q15" s="13">
        <v>2000</v>
      </c>
      <c r="R15" s="13">
        <v>5000</v>
      </c>
      <c r="S15" s="13">
        <v>2000</v>
      </c>
      <c r="T15" s="13">
        <v>2000</v>
      </c>
      <c r="U15" s="13">
        <v>2000</v>
      </c>
      <c r="V15" s="13">
        <v>2000</v>
      </c>
      <c r="W15" s="13">
        <v>2000</v>
      </c>
      <c r="X15" s="13">
        <v>2000</v>
      </c>
      <c r="Y15" s="13">
        <v>2000</v>
      </c>
      <c r="Z15" s="13">
        <v>2000</v>
      </c>
      <c r="AA15" s="13">
        <v>2000</v>
      </c>
      <c r="AB15" s="13">
        <v>2000</v>
      </c>
      <c r="AC15" s="13">
        <v>2000</v>
      </c>
      <c r="AD15" s="13">
        <v>2000</v>
      </c>
      <c r="AE15" s="13">
        <v>2000</v>
      </c>
      <c r="AF15" s="13">
        <v>2000</v>
      </c>
      <c r="AG15" s="17">
        <v>2000</v>
      </c>
      <c r="AH15" s="67"/>
      <c r="AI15" s="60">
        <f t="shared" si="5"/>
        <v>35000</v>
      </c>
      <c r="AJ15" s="13">
        <f t="shared" si="7"/>
        <v>27000</v>
      </c>
      <c r="AK15" s="13">
        <f t="shared" si="8"/>
        <v>27000</v>
      </c>
      <c r="AL15" s="13">
        <f t="shared" si="8"/>
        <v>27000</v>
      </c>
      <c r="AM15" s="13">
        <f t="shared" si="8"/>
        <v>27000</v>
      </c>
      <c r="AN15" s="13">
        <f t="shared" si="9"/>
        <v>143000</v>
      </c>
    </row>
    <row r="16" spans="1:40" outlineLevel="1" x14ac:dyDescent="0.25">
      <c r="A16" s="4" t="s">
        <v>47</v>
      </c>
      <c r="B16" s="6" t="s">
        <v>73</v>
      </c>
      <c r="C16" s="22">
        <f t="shared" si="4"/>
        <v>0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7"/>
      <c r="AH16" s="67"/>
      <c r="AI16" s="60">
        <f t="shared" si="5"/>
        <v>0</v>
      </c>
      <c r="AJ16" s="13">
        <f t="shared" si="7"/>
        <v>0</v>
      </c>
      <c r="AK16" s="13">
        <f t="shared" si="8"/>
        <v>0</v>
      </c>
      <c r="AL16" s="13">
        <f t="shared" si="8"/>
        <v>0</v>
      </c>
      <c r="AM16" s="13">
        <f t="shared" si="8"/>
        <v>0</v>
      </c>
      <c r="AN16" s="13">
        <f t="shared" si="9"/>
        <v>0</v>
      </c>
    </row>
    <row r="17" spans="1:40" outlineLevel="1" x14ac:dyDescent="0.25">
      <c r="A17" s="4" t="s">
        <v>48</v>
      </c>
      <c r="B17" s="6" t="s">
        <v>147</v>
      </c>
      <c r="C17" s="22">
        <f t="shared" si="4"/>
        <v>540000</v>
      </c>
      <c r="D17" s="13">
        <v>18000</v>
      </c>
      <c r="E17" s="13">
        <v>18000</v>
      </c>
      <c r="F17" s="13">
        <v>18000</v>
      </c>
      <c r="G17" s="13">
        <v>18000</v>
      </c>
      <c r="H17" s="13">
        <v>18000</v>
      </c>
      <c r="I17" s="13">
        <v>18000</v>
      </c>
      <c r="J17" s="13">
        <v>18000</v>
      </c>
      <c r="K17" s="13">
        <v>18000</v>
      </c>
      <c r="L17" s="13">
        <v>18000</v>
      </c>
      <c r="M17" s="13">
        <v>18000</v>
      </c>
      <c r="N17" s="13">
        <v>18000</v>
      </c>
      <c r="O17" s="13">
        <v>18000</v>
      </c>
      <c r="P17" s="13">
        <v>18000</v>
      </c>
      <c r="Q17" s="13">
        <v>18000</v>
      </c>
      <c r="R17" s="13">
        <v>18000</v>
      </c>
      <c r="S17" s="13">
        <v>18000</v>
      </c>
      <c r="T17" s="13">
        <v>18000</v>
      </c>
      <c r="U17" s="13">
        <v>18000</v>
      </c>
      <c r="V17" s="13">
        <v>18000</v>
      </c>
      <c r="W17" s="13">
        <v>18000</v>
      </c>
      <c r="X17" s="13">
        <v>18000</v>
      </c>
      <c r="Y17" s="13">
        <v>18000</v>
      </c>
      <c r="Z17" s="13">
        <v>18000</v>
      </c>
      <c r="AA17" s="13">
        <v>18000</v>
      </c>
      <c r="AB17" s="13">
        <v>18000</v>
      </c>
      <c r="AC17" s="13">
        <v>18000</v>
      </c>
      <c r="AD17" s="13">
        <v>18000</v>
      </c>
      <c r="AE17" s="13">
        <v>18000</v>
      </c>
      <c r="AF17" s="13">
        <v>18000</v>
      </c>
      <c r="AG17" s="17">
        <v>18000</v>
      </c>
      <c r="AH17" s="67"/>
      <c r="AI17" s="60">
        <f t="shared" si="5"/>
        <v>216000</v>
      </c>
      <c r="AJ17" s="13">
        <f t="shared" si="7"/>
        <v>216000</v>
      </c>
      <c r="AK17" s="13">
        <f t="shared" si="8"/>
        <v>216000</v>
      </c>
      <c r="AL17" s="13">
        <f t="shared" si="8"/>
        <v>216000</v>
      </c>
      <c r="AM17" s="13">
        <f t="shared" si="8"/>
        <v>216000</v>
      </c>
      <c r="AN17" s="13">
        <f t="shared" si="9"/>
        <v>1080000</v>
      </c>
    </row>
    <row r="18" spans="1:40" outlineLevel="1" x14ac:dyDescent="0.25">
      <c r="A18" s="4" t="s">
        <v>49</v>
      </c>
      <c r="B18" s="6" t="s">
        <v>182</v>
      </c>
      <c r="C18" s="22">
        <f t="shared" si="4"/>
        <v>510000</v>
      </c>
      <c r="D18" s="13">
        <v>17000</v>
      </c>
      <c r="E18" s="13">
        <v>17000</v>
      </c>
      <c r="F18" s="13">
        <v>17000</v>
      </c>
      <c r="G18" s="13">
        <v>17000</v>
      </c>
      <c r="H18" s="13">
        <v>17000</v>
      </c>
      <c r="I18" s="13">
        <v>17000</v>
      </c>
      <c r="J18" s="13">
        <v>17000</v>
      </c>
      <c r="K18" s="13">
        <v>17000</v>
      </c>
      <c r="L18" s="13">
        <v>17000</v>
      </c>
      <c r="M18" s="13">
        <v>17000</v>
      </c>
      <c r="N18" s="13">
        <v>17000</v>
      </c>
      <c r="O18" s="13">
        <v>17000</v>
      </c>
      <c r="P18" s="13">
        <v>17000</v>
      </c>
      <c r="Q18" s="13">
        <v>17000</v>
      </c>
      <c r="R18" s="13">
        <v>17000</v>
      </c>
      <c r="S18" s="13">
        <v>17000</v>
      </c>
      <c r="T18" s="13">
        <v>17000</v>
      </c>
      <c r="U18" s="13">
        <v>17000</v>
      </c>
      <c r="V18" s="13">
        <v>17000</v>
      </c>
      <c r="W18" s="13">
        <v>17000</v>
      </c>
      <c r="X18" s="13">
        <v>17000</v>
      </c>
      <c r="Y18" s="13">
        <v>17000</v>
      </c>
      <c r="Z18" s="13">
        <v>17000</v>
      </c>
      <c r="AA18" s="13">
        <v>17000</v>
      </c>
      <c r="AB18" s="13">
        <v>17000</v>
      </c>
      <c r="AC18" s="13">
        <v>17000</v>
      </c>
      <c r="AD18" s="13">
        <v>17000</v>
      </c>
      <c r="AE18" s="13">
        <v>17000</v>
      </c>
      <c r="AF18" s="13">
        <v>17000</v>
      </c>
      <c r="AG18" s="17">
        <v>17000</v>
      </c>
      <c r="AH18" s="67"/>
      <c r="AI18" s="60">
        <f t="shared" si="5"/>
        <v>204000</v>
      </c>
      <c r="AJ18" s="13">
        <f t="shared" si="7"/>
        <v>204000</v>
      </c>
      <c r="AK18" s="13">
        <f t="shared" si="8"/>
        <v>204000</v>
      </c>
      <c r="AL18" s="13">
        <f t="shared" si="8"/>
        <v>204000</v>
      </c>
      <c r="AM18" s="13">
        <f t="shared" si="8"/>
        <v>204000</v>
      </c>
      <c r="AN18" s="13">
        <f t="shared" si="9"/>
        <v>1020000</v>
      </c>
    </row>
    <row r="19" spans="1:40" outlineLevel="1" x14ac:dyDescent="0.25">
      <c r="A19" s="4" t="s">
        <v>50</v>
      </c>
      <c r="B19" s="6" t="s">
        <v>227</v>
      </c>
      <c r="C19" s="22">
        <f t="shared" si="4"/>
        <v>390000</v>
      </c>
      <c r="D19" s="13">
        <v>13000</v>
      </c>
      <c r="E19" s="13">
        <v>13000</v>
      </c>
      <c r="F19" s="13">
        <v>13000</v>
      </c>
      <c r="G19" s="13">
        <v>13000</v>
      </c>
      <c r="H19" s="13">
        <v>13000</v>
      </c>
      <c r="I19" s="13">
        <v>13000</v>
      </c>
      <c r="J19" s="13">
        <v>13000</v>
      </c>
      <c r="K19" s="13">
        <v>13000</v>
      </c>
      <c r="L19" s="13">
        <v>13000</v>
      </c>
      <c r="M19" s="13">
        <v>13000</v>
      </c>
      <c r="N19" s="13">
        <v>13000</v>
      </c>
      <c r="O19" s="13">
        <v>13000</v>
      </c>
      <c r="P19" s="13">
        <v>13000</v>
      </c>
      <c r="Q19" s="13">
        <v>13000</v>
      </c>
      <c r="R19" s="13">
        <v>13000</v>
      </c>
      <c r="S19" s="13">
        <v>13000</v>
      </c>
      <c r="T19" s="13">
        <v>13000</v>
      </c>
      <c r="U19" s="13">
        <v>13000</v>
      </c>
      <c r="V19" s="13">
        <v>13000</v>
      </c>
      <c r="W19" s="13">
        <v>13000</v>
      </c>
      <c r="X19" s="13">
        <v>13000</v>
      </c>
      <c r="Y19" s="13">
        <v>13000</v>
      </c>
      <c r="Z19" s="13">
        <v>13000</v>
      </c>
      <c r="AA19" s="13">
        <v>13000</v>
      </c>
      <c r="AB19" s="13">
        <v>13000</v>
      </c>
      <c r="AC19" s="13">
        <v>13000</v>
      </c>
      <c r="AD19" s="13">
        <v>13000</v>
      </c>
      <c r="AE19" s="13">
        <v>13000</v>
      </c>
      <c r="AF19" s="13">
        <v>13000</v>
      </c>
      <c r="AG19" s="17">
        <v>13000</v>
      </c>
      <c r="AH19" s="67"/>
      <c r="AI19" s="60">
        <f t="shared" si="5"/>
        <v>156000</v>
      </c>
      <c r="AJ19" s="13">
        <f t="shared" si="7"/>
        <v>156000</v>
      </c>
      <c r="AK19" s="13">
        <f t="shared" si="8"/>
        <v>156000</v>
      </c>
      <c r="AL19" s="13">
        <f t="shared" si="8"/>
        <v>156000</v>
      </c>
      <c r="AM19" s="13">
        <f t="shared" si="8"/>
        <v>156000</v>
      </c>
      <c r="AN19" s="13">
        <f t="shared" si="9"/>
        <v>780000</v>
      </c>
    </row>
    <row r="20" spans="1:40" ht="12.6" customHeight="1" outlineLevel="1" x14ac:dyDescent="0.25">
      <c r="A20" s="4" t="s">
        <v>51</v>
      </c>
      <c r="B20" s="6" t="s">
        <v>276</v>
      </c>
      <c r="C20" s="80">
        <f t="shared" si="4"/>
        <v>2551145.333333333</v>
      </c>
      <c r="D20" s="13">
        <f>D23*0.2</f>
        <v>78260</v>
      </c>
      <c r="E20" s="13">
        <f t="shared" ref="E20:AG20" si="11">E23*0.2</f>
        <v>74293.333333333328</v>
      </c>
      <c r="F20" s="13">
        <f t="shared" si="11"/>
        <v>77280</v>
      </c>
      <c r="G20" s="13">
        <f t="shared" si="11"/>
        <v>81760</v>
      </c>
      <c r="H20" s="13">
        <f t="shared" si="11"/>
        <v>83552</v>
      </c>
      <c r="I20" s="13">
        <f t="shared" si="11"/>
        <v>86240</v>
      </c>
      <c r="J20" s="13">
        <f t="shared" si="11"/>
        <v>86240</v>
      </c>
      <c r="K20" s="13">
        <f t="shared" si="11"/>
        <v>86240</v>
      </c>
      <c r="L20" s="13">
        <f t="shared" si="11"/>
        <v>86240</v>
      </c>
      <c r="M20" s="13">
        <f t="shared" si="11"/>
        <v>86240</v>
      </c>
      <c r="N20" s="13">
        <f t="shared" si="11"/>
        <v>86240</v>
      </c>
      <c r="O20" s="13">
        <f t="shared" si="11"/>
        <v>86240</v>
      </c>
      <c r="P20" s="13">
        <f t="shared" si="11"/>
        <v>86240</v>
      </c>
      <c r="Q20" s="13">
        <f t="shared" si="11"/>
        <v>86240</v>
      </c>
      <c r="R20" s="13">
        <f t="shared" si="11"/>
        <v>86240</v>
      </c>
      <c r="S20" s="13">
        <f t="shared" si="11"/>
        <v>86240</v>
      </c>
      <c r="T20" s="13">
        <f t="shared" si="11"/>
        <v>86240</v>
      </c>
      <c r="U20" s="13">
        <f t="shared" ref="U20:AF20" si="12">U23*0.2</f>
        <v>86240</v>
      </c>
      <c r="V20" s="13">
        <f t="shared" si="12"/>
        <v>86240</v>
      </c>
      <c r="W20" s="13">
        <f t="shared" si="12"/>
        <v>86240</v>
      </c>
      <c r="X20" s="13">
        <f t="shared" ref="X20:AC20" si="13">X23*0.2</f>
        <v>86240</v>
      </c>
      <c r="Y20" s="13">
        <f t="shared" si="13"/>
        <v>86240</v>
      </c>
      <c r="Z20" s="13">
        <f t="shared" si="13"/>
        <v>86240</v>
      </c>
      <c r="AA20" s="13">
        <f t="shared" si="13"/>
        <v>86240</v>
      </c>
      <c r="AB20" s="13">
        <f t="shared" si="13"/>
        <v>86240</v>
      </c>
      <c r="AC20" s="13">
        <f t="shared" si="13"/>
        <v>86240</v>
      </c>
      <c r="AD20" s="13">
        <f t="shared" si="12"/>
        <v>86240</v>
      </c>
      <c r="AE20" s="13">
        <f t="shared" si="12"/>
        <v>86240</v>
      </c>
      <c r="AF20" s="13">
        <f t="shared" si="12"/>
        <v>86240</v>
      </c>
      <c r="AG20" s="17">
        <f t="shared" si="11"/>
        <v>86240</v>
      </c>
      <c r="AH20" s="67"/>
      <c r="AI20" s="60">
        <f t="shared" si="5"/>
        <v>998825.33333333326</v>
      </c>
      <c r="AJ20" s="13">
        <f t="shared" si="7"/>
        <v>1034880</v>
      </c>
      <c r="AK20" s="13">
        <f t="shared" si="8"/>
        <v>1034880</v>
      </c>
      <c r="AL20" s="13">
        <f t="shared" si="8"/>
        <v>1034880</v>
      </c>
      <c r="AM20" s="13">
        <f t="shared" si="8"/>
        <v>1034880</v>
      </c>
      <c r="AN20" s="13">
        <f t="shared" si="9"/>
        <v>5138345.333333333</v>
      </c>
    </row>
    <row r="21" spans="1:40" outlineLevel="1" x14ac:dyDescent="0.25">
      <c r="A21" s="4" t="s">
        <v>229</v>
      </c>
      <c r="B21" s="6" t="s">
        <v>280</v>
      </c>
      <c r="C21" s="80">
        <f t="shared" si="4"/>
        <v>1275572.6666666665</v>
      </c>
      <c r="D21" s="13">
        <f>D23*0.1</f>
        <v>39130</v>
      </c>
      <c r="E21" s="13">
        <f t="shared" ref="E21:AG21" si="14">E23*0.1</f>
        <v>37146.666666666664</v>
      </c>
      <c r="F21" s="13">
        <f t="shared" si="14"/>
        <v>38640</v>
      </c>
      <c r="G21" s="13">
        <f t="shared" si="14"/>
        <v>40880</v>
      </c>
      <c r="H21" s="13">
        <f t="shared" si="14"/>
        <v>41776</v>
      </c>
      <c r="I21" s="13">
        <f t="shared" si="14"/>
        <v>43120</v>
      </c>
      <c r="J21" s="13">
        <f t="shared" si="14"/>
        <v>43120</v>
      </c>
      <c r="K21" s="13">
        <f t="shared" si="14"/>
        <v>43120</v>
      </c>
      <c r="L21" s="13">
        <f t="shared" si="14"/>
        <v>43120</v>
      </c>
      <c r="M21" s="13">
        <f t="shared" si="14"/>
        <v>43120</v>
      </c>
      <c r="N21" s="13">
        <f t="shared" si="14"/>
        <v>43120</v>
      </c>
      <c r="O21" s="13">
        <f t="shared" si="14"/>
        <v>43120</v>
      </c>
      <c r="P21" s="13">
        <f t="shared" si="14"/>
        <v>43120</v>
      </c>
      <c r="Q21" s="13">
        <f t="shared" si="14"/>
        <v>43120</v>
      </c>
      <c r="R21" s="13">
        <f t="shared" si="14"/>
        <v>43120</v>
      </c>
      <c r="S21" s="13">
        <f t="shared" si="14"/>
        <v>43120</v>
      </c>
      <c r="T21" s="13">
        <f t="shared" si="14"/>
        <v>43120</v>
      </c>
      <c r="U21" s="13">
        <f t="shared" ref="U21:AF21" si="15">U23*0.1</f>
        <v>43120</v>
      </c>
      <c r="V21" s="13">
        <f t="shared" si="15"/>
        <v>43120</v>
      </c>
      <c r="W21" s="13">
        <f t="shared" si="15"/>
        <v>43120</v>
      </c>
      <c r="X21" s="13">
        <f t="shared" ref="X21:AC21" si="16">X23*0.1</f>
        <v>43120</v>
      </c>
      <c r="Y21" s="13">
        <f t="shared" si="16"/>
        <v>43120</v>
      </c>
      <c r="Z21" s="13">
        <f t="shared" si="16"/>
        <v>43120</v>
      </c>
      <c r="AA21" s="13">
        <f t="shared" si="16"/>
        <v>43120</v>
      </c>
      <c r="AB21" s="13">
        <f t="shared" si="16"/>
        <v>43120</v>
      </c>
      <c r="AC21" s="13">
        <f t="shared" si="16"/>
        <v>43120</v>
      </c>
      <c r="AD21" s="13">
        <f t="shared" si="15"/>
        <v>43120</v>
      </c>
      <c r="AE21" s="13">
        <f t="shared" si="15"/>
        <v>43120</v>
      </c>
      <c r="AF21" s="13">
        <f t="shared" si="15"/>
        <v>43120</v>
      </c>
      <c r="AG21" s="17">
        <f t="shared" si="14"/>
        <v>43120</v>
      </c>
      <c r="AH21" s="66"/>
      <c r="AI21" s="60">
        <f t="shared" si="5"/>
        <v>499412.66666666663</v>
      </c>
      <c r="AJ21" s="13">
        <f t="shared" si="7"/>
        <v>517440</v>
      </c>
      <c r="AK21" s="13">
        <f t="shared" si="8"/>
        <v>517440</v>
      </c>
      <c r="AL21" s="13">
        <f t="shared" si="8"/>
        <v>517440</v>
      </c>
      <c r="AM21" s="13">
        <f t="shared" si="8"/>
        <v>517440</v>
      </c>
      <c r="AN21" s="13">
        <f t="shared" si="9"/>
        <v>2569172.6666666665</v>
      </c>
    </row>
    <row r="22" spans="1:40" outlineLevel="1" x14ac:dyDescent="0.25">
      <c r="A22" s="4" t="s">
        <v>230</v>
      </c>
      <c r="B22" s="6" t="s">
        <v>64</v>
      </c>
      <c r="C22" s="22">
        <f t="shared" si="4"/>
        <v>30000</v>
      </c>
      <c r="D22" s="13">
        <v>1000</v>
      </c>
      <c r="E22" s="13">
        <v>1000</v>
      </c>
      <c r="F22" s="13">
        <v>1000</v>
      </c>
      <c r="G22" s="13">
        <v>1000</v>
      </c>
      <c r="H22" s="13">
        <v>1000</v>
      </c>
      <c r="I22" s="13">
        <v>1000</v>
      </c>
      <c r="J22" s="13">
        <v>1000</v>
      </c>
      <c r="K22" s="13">
        <v>1000</v>
      </c>
      <c r="L22" s="13">
        <v>1000</v>
      </c>
      <c r="M22" s="13">
        <v>1000</v>
      </c>
      <c r="N22" s="13">
        <v>1000</v>
      </c>
      <c r="O22" s="13">
        <v>1000</v>
      </c>
      <c r="P22" s="13">
        <v>1000</v>
      </c>
      <c r="Q22" s="13">
        <v>1000</v>
      </c>
      <c r="R22" s="13">
        <v>1000</v>
      </c>
      <c r="S22" s="13">
        <v>1000</v>
      </c>
      <c r="T22" s="13">
        <v>1000</v>
      </c>
      <c r="U22" s="13">
        <v>1000</v>
      </c>
      <c r="V22" s="13">
        <v>1000</v>
      </c>
      <c r="W22" s="13">
        <v>1000</v>
      </c>
      <c r="X22" s="13">
        <v>1000</v>
      </c>
      <c r="Y22" s="13">
        <v>1000</v>
      </c>
      <c r="Z22" s="13">
        <v>1000</v>
      </c>
      <c r="AA22" s="13">
        <v>1000</v>
      </c>
      <c r="AB22" s="13">
        <v>1000</v>
      </c>
      <c r="AC22" s="13">
        <v>1000</v>
      </c>
      <c r="AD22" s="13">
        <v>1000</v>
      </c>
      <c r="AE22" s="13">
        <v>1000</v>
      </c>
      <c r="AF22" s="13">
        <v>1000</v>
      </c>
      <c r="AG22" s="17">
        <v>1000</v>
      </c>
      <c r="AH22" s="67"/>
      <c r="AI22" s="60">
        <f t="shared" si="5"/>
        <v>12000</v>
      </c>
      <c r="AJ22" s="13">
        <f t="shared" si="7"/>
        <v>12000</v>
      </c>
      <c r="AK22" s="13">
        <f t="shared" si="8"/>
        <v>12000</v>
      </c>
      <c r="AL22" s="13">
        <f t="shared" si="8"/>
        <v>12000</v>
      </c>
      <c r="AM22" s="13">
        <f t="shared" si="8"/>
        <v>12000</v>
      </c>
      <c r="AN22" s="13">
        <f t="shared" si="9"/>
        <v>60000</v>
      </c>
    </row>
    <row r="23" spans="1:40" ht="15.75" x14ac:dyDescent="0.25">
      <c r="A23" s="3" t="s">
        <v>53</v>
      </c>
      <c r="B23" s="8" t="s">
        <v>54</v>
      </c>
      <c r="C23" s="23">
        <f>SUM(C24:C33)</f>
        <v>12755726.666666668</v>
      </c>
      <c r="D23" s="14">
        <f t="shared" ref="D23:AG23" si="17">SUM(D24:D33)</f>
        <v>391300</v>
      </c>
      <c r="E23" s="14">
        <f t="shared" si="17"/>
        <v>371466.66666666663</v>
      </c>
      <c r="F23" s="14">
        <f t="shared" si="17"/>
        <v>386400</v>
      </c>
      <c r="G23" s="14">
        <f t="shared" si="17"/>
        <v>408800</v>
      </c>
      <c r="H23" s="14">
        <f t="shared" si="17"/>
        <v>417760</v>
      </c>
      <c r="I23" s="14">
        <f t="shared" si="17"/>
        <v>431200</v>
      </c>
      <c r="J23" s="14">
        <f t="shared" si="17"/>
        <v>431200</v>
      </c>
      <c r="K23" s="14">
        <f t="shared" si="17"/>
        <v>431200</v>
      </c>
      <c r="L23" s="14">
        <f t="shared" si="17"/>
        <v>431200</v>
      </c>
      <c r="M23" s="14">
        <f t="shared" si="17"/>
        <v>431200</v>
      </c>
      <c r="N23" s="14">
        <f t="shared" si="17"/>
        <v>431200</v>
      </c>
      <c r="O23" s="14">
        <f t="shared" si="17"/>
        <v>431200</v>
      </c>
      <c r="P23" s="14">
        <f t="shared" si="17"/>
        <v>431200</v>
      </c>
      <c r="Q23" s="14">
        <f t="shared" si="17"/>
        <v>431200</v>
      </c>
      <c r="R23" s="14">
        <f t="shared" si="17"/>
        <v>431200</v>
      </c>
      <c r="S23" s="14">
        <f t="shared" si="17"/>
        <v>431200</v>
      </c>
      <c r="T23" s="14">
        <f t="shared" si="17"/>
        <v>431200</v>
      </c>
      <c r="U23" s="14">
        <f t="shared" ref="U23:AE23" si="18">SUM(U24:U33)</f>
        <v>431200</v>
      </c>
      <c r="V23" s="14">
        <f t="shared" si="18"/>
        <v>431200</v>
      </c>
      <c r="W23" s="14">
        <f t="shared" si="18"/>
        <v>431200</v>
      </c>
      <c r="X23" s="14">
        <f t="shared" ref="X23:AC23" si="19">SUM(X24:X33)</f>
        <v>431200</v>
      </c>
      <c r="Y23" s="14">
        <f t="shared" si="19"/>
        <v>431200</v>
      </c>
      <c r="Z23" s="14">
        <f t="shared" si="19"/>
        <v>431200</v>
      </c>
      <c r="AA23" s="14">
        <f t="shared" si="19"/>
        <v>431200</v>
      </c>
      <c r="AB23" s="14">
        <f t="shared" si="19"/>
        <v>431200</v>
      </c>
      <c r="AC23" s="14">
        <f t="shared" si="19"/>
        <v>431200</v>
      </c>
      <c r="AD23" s="14">
        <f t="shared" si="18"/>
        <v>431200</v>
      </c>
      <c r="AE23" s="14">
        <f t="shared" si="18"/>
        <v>431200</v>
      </c>
      <c r="AF23" s="14">
        <f>SUM(AF24:AF33)</f>
        <v>431200</v>
      </c>
      <c r="AG23" s="17">
        <f t="shared" si="17"/>
        <v>431200</v>
      </c>
      <c r="AH23" s="67"/>
      <c r="AI23" s="61">
        <f t="shared" ref="AI23:AM23" si="20">SUM(AI24:AI33)</f>
        <v>4994126.666666666</v>
      </c>
      <c r="AJ23" s="14">
        <f t="shared" si="20"/>
        <v>5174400</v>
      </c>
      <c r="AK23" s="14">
        <f t="shared" si="20"/>
        <v>5174400</v>
      </c>
      <c r="AL23" s="14">
        <f t="shared" si="20"/>
        <v>5174400</v>
      </c>
      <c r="AM23" s="14">
        <f t="shared" si="20"/>
        <v>5174400</v>
      </c>
      <c r="AN23" s="14">
        <f>SUM(AI23:AM23)</f>
        <v>25691726.666666664</v>
      </c>
    </row>
    <row r="24" spans="1:40" outlineLevel="1" x14ac:dyDescent="0.25">
      <c r="A24" s="4" t="s">
        <v>75</v>
      </c>
      <c r="B24" s="11" t="s">
        <v>63</v>
      </c>
      <c r="C24" s="24">
        <f t="shared" ref="C24:C33" si="21">SUM(D24:AG24)</f>
        <v>1512000</v>
      </c>
      <c r="D24" s="15">
        <f>Продукция!$I$3</f>
        <v>50400</v>
      </c>
      <c r="E24" s="15">
        <f>Продукция!$I$3</f>
        <v>50400</v>
      </c>
      <c r="F24" s="15">
        <f>Продукция!$I$3</f>
        <v>50400</v>
      </c>
      <c r="G24" s="15">
        <f>Продукция!$I$3</f>
        <v>50400</v>
      </c>
      <c r="H24" s="15">
        <f>Продукция!$I$3</f>
        <v>50400</v>
      </c>
      <c r="I24" s="15">
        <f>Продукция!$I$3</f>
        <v>50400</v>
      </c>
      <c r="J24" s="15">
        <f>Продукция!$I$3</f>
        <v>50400</v>
      </c>
      <c r="K24" s="15">
        <f>Продукция!$I$3</f>
        <v>50400</v>
      </c>
      <c r="L24" s="15">
        <f>Продукция!$I$3</f>
        <v>50400</v>
      </c>
      <c r="M24" s="15">
        <f>Продукция!$I$3</f>
        <v>50400</v>
      </c>
      <c r="N24" s="15">
        <f>Продукция!$I$3</f>
        <v>50400</v>
      </c>
      <c r="O24" s="15">
        <f>Продукция!$I$3</f>
        <v>50400</v>
      </c>
      <c r="P24" s="15">
        <f>Продукция!$I$3</f>
        <v>50400</v>
      </c>
      <c r="Q24" s="15">
        <f>Продукция!$I$3</f>
        <v>50400</v>
      </c>
      <c r="R24" s="15">
        <f>Продукция!$I$3</f>
        <v>50400</v>
      </c>
      <c r="S24" s="15">
        <f>Продукция!$I$3</f>
        <v>50400</v>
      </c>
      <c r="T24" s="15">
        <f>Продукция!$I$3</f>
        <v>50400</v>
      </c>
      <c r="U24" s="15">
        <f>Продукция!$I$3</f>
        <v>50400</v>
      </c>
      <c r="V24" s="15">
        <f>Продукция!$I$3</f>
        <v>50400</v>
      </c>
      <c r="W24" s="15">
        <f>Продукция!$I$3</f>
        <v>50400</v>
      </c>
      <c r="X24" s="15">
        <f>Продукция!$I$3</f>
        <v>50400</v>
      </c>
      <c r="Y24" s="15">
        <f>Продукция!$I$3</f>
        <v>50400</v>
      </c>
      <c r="Z24" s="15">
        <f>Продукция!$I$3</f>
        <v>50400</v>
      </c>
      <c r="AA24" s="15">
        <f>Продукция!$I$3</f>
        <v>50400</v>
      </c>
      <c r="AB24" s="15">
        <f>Продукция!$I$3</f>
        <v>50400</v>
      </c>
      <c r="AC24" s="15">
        <f>Продукция!$I$3</f>
        <v>50400</v>
      </c>
      <c r="AD24" s="15">
        <f>Продукция!$I$3</f>
        <v>50400</v>
      </c>
      <c r="AE24" s="15">
        <f>Продукция!$I$3</f>
        <v>50400</v>
      </c>
      <c r="AF24" s="15">
        <f>Продукция!$I$3</f>
        <v>50400</v>
      </c>
      <c r="AG24" s="17">
        <f>Продукция!$I$3</f>
        <v>50400</v>
      </c>
      <c r="AH24" s="67"/>
      <c r="AI24" s="62">
        <f t="shared" ref="AI24:AI32" si="22">SUM(D24:O24)</f>
        <v>604800</v>
      </c>
      <c r="AJ24" s="15">
        <f>SUM($P$24:$AA$24)</f>
        <v>604800</v>
      </c>
      <c r="AK24" s="15">
        <f>AJ24</f>
        <v>604800</v>
      </c>
      <c r="AL24" s="15">
        <f>AK24</f>
        <v>604800</v>
      </c>
      <c r="AM24" s="15">
        <f>AL24</f>
        <v>604800</v>
      </c>
      <c r="AN24" s="15">
        <f>SUM(AI24:AM24)</f>
        <v>3024000</v>
      </c>
    </row>
    <row r="25" spans="1:40" outlineLevel="1" x14ac:dyDescent="0.25">
      <c r="A25" s="4" t="s">
        <v>76</v>
      </c>
      <c r="B25" s="11" t="s">
        <v>277</v>
      </c>
      <c r="C25" s="24">
        <f t="shared" si="21"/>
        <v>8736000</v>
      </c>
      <c r="D25" s="15">
        <f>Продукция!$I$8</f>
        <v>291200</v>
      </c>
      <c r="E25" s="15">
        <f>Продукция!$I$8</f>
        <v>291200</v>
      </c>
      <c r="F25" s="15">
        <f>Продукция!$I$8</f>
        <v>291200</v>
      </c>
      <c r="G25" s="15">
        <f>Продукция!$I$8</f>
        <v>291200</v>
      </c>
      <c r="H25" s="15">
        <f>Продукция!$I$8</f>
        <v>291200</v>
      </c>
      <c r="I25" s="15">
        <f>Продукция!$I$8</f>
        <v>291200</v>
      </c>
      <c r="J25" s="15">
        <f>Продукция!$I$8</f>
        <v>291200</v>
      </c>
      <c r="K25" s="15">
        <f>Продукция!$I$8</f>
        <v>291200</v>
      </c>
      <c r="L25" s="15">
        <f>Продукция!$I$8</f>
        <v>291200</v>
      </c>
      <c r="M25" s="15">
        <f>Продукция!$I$8</f>
        <v>291200</v>
      </c>
      <c r="N25" s="15">
        <f>Продукция!$I$8</f>
        <v>291200</v>
      </c>
      <c r="O25" s="15">
        <f>Продукция!$I$8</f>
        <v>291200</v>
      </c>
      <c r="P25" s="15">
        <f>Продукция!$I$8</f>
        <v>291200</v>
      </c>
      <c r="Q25" s="15">
        <f>Продукция!$I$8</f>
        <v>291200</v>
      </c>
      <c r="R25" s="15">
        <f>Продукция!$I$8</f>
        <v>291200</v>
      </c>
      <c r="S25" s="15">
        <f>Продукция!$I$8</f>
        <v>291200</v>
      </c>
      <c r="T25" s="15">
        <f>Продукция!$I$8</f>
        <v>291200</v>
      </c>
      <c r="U25" s="15">
        <f>Продукция!$I$8</f>
        <v>291200</v>
      </c>
      <c r="V25" s="15">
        <f>Продукция!$I$8</f>
        <v>291200</v>
      </c>
      <c r="W25" s="15">
        <f>Продукция!$I$8</f>
        <v>291200</v>
      </c>
      <c r="X25" s="15">
        <f>Продукция!$I$8</f>
        <v>291200</v>
      </c>
      <c r="Y25" s="15">
        <f>Продукция!$I$8</f>
        <v>291200</v>
      </c>
      <c r="Z25" s="15">
        <f>Продукция!$I$8</f>
        <v>291200</v>
      </c>
      <c r="AA25" s="15">
        <f>Продукция!$I$8</f>
        <v>291200</v>
      </c>
      <c r="AB25" s="15">
        <f>Продукция!$I$8</f>
        <v>291200</v>
      </c>
      <c r="AC25" s="15">
        <f>Продукция!$I$8</f>
        <v>291200</v>
      </c>
      <c r="AD25" s="15">
        <f>Продукция!$I$8</f>
        <v>291200</v>
      </c>
      <c r="AE25" s="15">
        <f>Продукция!$I$8</f>
        <v>291200</v>
      </c>
      <c r="AF25" s="15">
        <f>Продукция!$I$8</f>
        <v>291200</v>
      </c>
      <c r="AG25" s="17">
        <f>Продукция!$I$8</f>
        <v>291200</v>
      </c>
      <c r="AH25" s="67"/>
      <c r="AI25" s="62">
        <f t="shared" si="22"/>
        <v>3494400</v>
      </c>
      <c r="AJ25" s="15">
        <f>SUM(P$25:AA$25)</f>
        <v>3494400</v>
      </c>
      <c r="AK25" s="15">
        <f t="shared" ref="AK25:AL32" si="23">AJ25</f>
        <v>3494400</v>
      </c>
      <c r="AL25" s="15">
        <f t="shared" si="23"/>
        <v>3494400</v>
      </c>
      <c r="AM25" s="15">
        <f t="shared" ref="AM25" si="24">AL25</f>
        <v>3494400</v>
      </c>
      <c r="AN25" s="15">
        <f t="shared" ref="AN25:AN32" si="25">SUM(AI25:AM25)</f>
        <v>17472000</v>
      </c>
    </row>
    <row r="26" spans="1:40" outlineLevel="1" x14ac:dyDescent="0.25">
      <c r="A26" s="4" t="s">
        <v>77</v>
      </c>
      <c r="B26" s="11" t="s">
        <v>278</v>
      </c>
      <c r="C26" s="24">
        <f t="shared" si="21"/>
        <v>1034973.3333333334</v>
      </c>
      <c r="D26" s="15">
        <f>Продукция!$I$9</f>
        <v>36400</v>
      </c>
      <c r="E26" s="15">
        <f>Продукция!$I$9/3</f>
        <v>12133.333333333334</v>
      </c>
      <c r="F26" s="15">
        <f>Продукция!$I$9/2</f>
        <v>18200</v>
      </c>
      <c r="G26" s="15">
        <f>Продукция!$I$9*0.75</f>
        <v>27300</v>
      </c>
      <c r="H26" s="15">
        <f>Продукция!$I$9*0.85</f>
        <v>30940</v>
      </c>
      <c r="I26" s="15">
        <f>Продукция!$I$9</f>
        <v>36400</v>
      </c>
      <c r="J26" s="15">
        <f>Продукция!$I$9</f>
        <v>36400</v>
      </c>
      <c r="K26" s="15">
        <f>Продукция!$I$9</f>
        <v>36400</v>
      </c>
      <c r="L26" s="15">
        <f>Продукция!$I$9</f>
        <v>36400</v>
      </c>
      <c r="M26" s="15">
        <f>Продукция!$I$9</f>
        <v>36400</v>
      </c>
      <c r="N26" s="15">
        <f>Продукция!$I$9</f>
        <v>36400</v>
      </c>
      <c r="O26" s="15">
        <f>Продукция!$I$9</f>
        <v>36400</v>
      </c>
      <c r="P26" s="15">
        <f>Продукция!$I$9</f>
        <v>36400</v>
      </c>
      <c r="Q26" s="15">
        <f>Продукция!$I$9</f>
        <v>36400</v>
      </c>
      <c r="R26" s="15">
        <f>Продукция!$I$9</f>
        <v>36400</v>
      </c>
      <c r="S26" s="15">
        <f>Продукция!$I$9</f>
        <v>36400</v>
      </c>
      <c r="T26" s="15">
        <f>Продукция!$I$9</f>
        <v>36400</v>
      </c>
      <c r="U26" s="15">
        <f>Продукция!$I$9</f>
        <v>36400</v>
      </c>
      <c r="V26" s="15">
        <f>Продукция!$I$9</f>
        <v>36400</v>
      </c>
      <c r="W26" s="15">
        <f>Продукция!$I$9</f>
        <v>36400</v>
      </c>
      <c r="X26" s="15">
        <f>Продукция!$I$9</f>
        <v>36400</v>
      </c>
      <c r="Y26" s="15">
        <f>Продукция!$I$9</f>
        <v>36400</v>
      </c>
      <c r="Z26" s="15">
        <f>Продукция!$I$9</f>
        <v>36400</v>
      </c>
      <c r="AA26" s="15">
        <f>Продукция!$I$9</f>
        <v>36400</v>
      </c>
      <c r="AB26" s="15">
        <f>Продукция!$I$9</f>
        <v>36400</v>
      </c>
      <c r="AC26" s="15">
        <f>Продукция!$I$9</f>
        <v>36400</v>
      </c>
      <c r="AD26" s="15">
        <f>Продукция!$I$9</f>
        <v>36400</v>
      </c>
      <c r="AE26" s="15">
        <f>Продукция!$I$9</f>
        <v>36400</v>
      </c>
      <c r="AF26" s="15">
        <f>Продукция!$I$9</f>
        <v>36400</v>
      </c>
      <c r="AG26" s="17">
        <f>Продукция!$I$9</f>
        <v>36400</v>
      </c>
      <c r="AH26" s="67"/>
      <c r="AI26" s="62">
        <f t="shared" si="22"/>
        <v>379773.33333333337</v>
      </c>
      <c r="AJ26" s="15">
        <f t="shared" ref="AJ26:AJ32" si="26">SUM(P26:AA26)</f>
        <v>436800</v>
      </c>
      <c r="AK26" s="15">
        <f t="shared" si="23"/>
        <v>436800</v>
      </c>
      <c r="AL26" s="15">
        <f t="shared" si="23"/>
        <v>436800</v>
      </c>
      <c r="AM26" s="15">
        <f t="shared" ref="AM26" si="27">AL26</f>
        <v>436800</v>
      </c>
      <c r="AN26" s="15">
        <f t="shared" si="25"/>
        <v>2126973.3333333335</v>
      </c>
    </row>
    <row r="27" spans="1:40" outlineLevel="1" x14ac:dyDescent="0.25">
      <c r="A27" s="4" t="s">
        <v>78</v>
      </c>
      <c r="B27" s="11" t="s">
        <v>67</v>
      </c>
      <c r="C27" s="24">
        <f t="shared" si="21"/>
        <v>0</v>
      </c>
      <c r="D27" s="15">
        <f>Продукция!$I$10/4</f>
        <v>0</v>
      </c>
      <c r="E27" s="15">
        <f>Продукция!$I$10/3</f>
        <v>0</v>
      </c>
      <c r="F27" s="15">
        <f>Продукция!$I$10/2</f>
        <v>0</v>
      </c>
      <c r="G27" s="15">
        <f>Продукция!$I$10*0.75</f>
        <v>0</v>
      </c>
      <c r="H27" s="15">
        <f>Продукция!$I$10*0.85</f>
        <v>0</v>
      </c>
      <c r="I27" s="15">
        <f>Продукция!$I$10</f>
        <v>0</v>
      </c>
      <c r="J27" s="15">
        <f>Продукция!$I$10</f>
        <v>0</v>
      </c>
      <c r="K27" s="15">
        <f>Продукция!$I$10</f>
        <v>0</v>
      </c>
      <c r="L27" s="15">
        <f>Продукция!$I$10</f>
        <v>0</v>
      </c>
      <c r="M27" s="15">
        <f>Продукция!$I$10</f>
        <v>0</v>
      </c>
      <c r="N27" s="15">
        <f>Продукция!$I$10</f>
        <v>0</v>
      </c>
      <c r="O27" s="15">
        <f>Продукция!$I$10</f>
        <v>0</v>
      </c>
      <c r="P27" s="15">
        <f>Продукция!$I$10</f>
        <v>0</v>
      </c>
      <c r="Q27" s="15">
        <f>Продукция!$I$10</f>
        <v>0</v>
      </c>
      <c r="R27" s="15">
        <f>Продукция!$I$10</f>
        <v>0</v>
      </c>
      <c r="S27" s="15">
        <f>Продукция!$I$10</f>
        <v>0</v>
      </c>
      <c r="T27" s="15">
        <f>Продукция!$I$10</f>
        <v>0</v>
      </c>
      <c r="U27" s="15">
        <f>Продукция!$I$10</f>
        <v>0</v>
      </c>
      <c r="V27" s="15">
        <f>Продукция!$I$10</f>
        <v>0</v>
      </c>
      <c r="W27" s="15">
        <f>Продукция!$I$10</f>
        <v>0</v>
      </c>
      <c r="X27" s="15">
        <f>Продукция!$I$10</f>
        <v>0</v>
      </c>
      <c r="Y27" s="15">
        <f>Продукция!$I$10</f>
        <v>0</v>
      </c>
      <c r="Z27" s="15">
        <f>Продукция!$I$10</f>
        <v>0</v>
      </c>
      <c r="AA27" s="15">
        <f>Продукция!$I$10</f>
        <v>0</v>
      </c>
      <c r="AB27" s="15">
        <f>Продукция!$I$10</f>
        <v>0</v>
      </c>
      <c r="AC27" s="15">
        <f>Продукция!$I$10</f>
        <v>0</v>
      </c>
      <c r="AD27" s="15">
        <f>Продукция!$I$10</f>
        <v>0</v>
      </c>
      <c r="AE27" s="15">
        <f>Продукция!$I$10</f>
        <v>0</v>
      </c>
      <c r="AF27" s="15">
        <f>Продукция!$I$10</f>
        <v>0</v>
      </c>
      <c r="AG27" s="17">
        <f>Продукция!$I$10</f>
        <v>0</v>
      </c>
      <c r="AH27" s="67"/>
      <c r="AI27" s="62">
        <f t="shared" si="22"/>
        <v>0</v>
      </c>
      <c r="AJ27" s="15">
        <f t="shared" si="26"/>
        <v>0</v>
      </c>
      <c r="AK27" s="15">
        <f t="shared" si="23"/>
        <v>0</v>
      </c>
      <c r="AL27" s="15">
        <f t="shared" si="23"/>
        <v>0</v>
      </c>
      <c r="AM27" s="15">
        <f t="shared" ref="AM27" si="28">AL27</f>
        <v>0</v>
      </c>
      <c r="AN27" s="15">
        <f t="shared" si="25"/>
        <v>0</v>
      </c>
    </row>
    <row r="28" spans="1:40" outlineLevel="1" x14ac:dyDescent="0.25">
      <c r="A28" s="4" t="s">
        <v>79</v>
      </c>
      <c r="B28" s="11" t="s">
        <v>68</v>
      </c>
      <c r="C28" s="24">
        <f t="shared" si="21"/>
        <v>0</v>
      </c>
      <c r="D28" s="15">
        <f>Продукция!$I$11/4</f>
        <v>0</v>
      </c>
      <c r="E28" s="15">
        <f>Продукция!$I$11/3</f>
        <v>0</v>
      </c>
      <c r="F28" s="15">
        <f>Продукция!$I$11/2</f>
        <v>0</v>
      </c>
      <c r="G28" s="15">
        <f>Продукция!$I$11*0.75</f>
        <v>0</v>
      </c>
      <c r="H28" s="15">
        <f>Продукция!$I$11*0.85</f>
        <v>0</v>
      </c>
      <c r="I28" s="15">
        <f>Продукция!$I$11</f>
        <v>0</v>
      </c>
      <c r="J28" s="15">
        <f>Продукция!$I$11</f>
        <v>0</v>
      </c>
      <c r="K28" s="15">
        <f>Продукция!$I$11</f>
        <v>0</v>
      </c>
      <c r="L28" s="15">
        <f>Продукция!$I$11</f>
        <v>0</v>
      </c>
      <c r="M28" s="15">
        <f>Продукция!$I$11</f>
        <v>0</v>
      </c>
      <c r="N28" s="15">
        <f>Продукция!$I$11</f>
        <v>0</v>
      </c>
      <c r="O28" s="15">
        <f>Продукция!$I$11</f>
        <v>0</v>
      </c>
      <c r="P28" s="15">
        <f>Продукция!$I$11</f>
        <v>0</v>
      </c>
      <c r="Q28" s="15">
        <f>Продукция!$I$11</f>
        <v>0</v>
      </c>
      <c r="R28" s="15">
        <f>Продукция!$I$11</f>
        <v>0</v>
      </c>
      <c r="S28" s="15">
        <f>Продукция!$I$11</f>
        <v>0</v>
      </c>
      <c r="T28" s="15">
        <f>Продукция!$I$11</f>
        <v>0</v>
      </c>
      <c r="U28" s="15">
        <f>Продукция!$I$11</f>
        <v>0</v>
      </c>
      <c r="V28" s="15">
        <f>Продукция!$I$11</f>
        <v>0</v>
      </c>
      <c r="W28" s="15">
        <f>Продукция!$I$11</f>
        <v>0</v>
      </c>
      <c r="X28" s="15">
        <f>Продукция!$I$11</f>
        <v>0</v>
      </c>
      <c r="Y28" s="15">
        <f>Продукция!$I$11</f>
        <v>0</v>
      </c>
      <c r="Z28" s="15">
        <f>Продукция!$I$11</f>
        <v>0</v>
      </c>
      <c r="AA28" s="15">
        <f>Продукция!$I$11</f>
        <v>0</v>
      </c>
      <c r="AB28" s="15">
        <f>Продукция!$I$11</f>
        <v>0</v>
      </c>
      <c r="AC28" s="15">
        <f>Продукция!$I$11</f>
        <v>0</v>
      </c>
      <c r="AD28" s="15">
        <f>Продукция!$I$11</f>
        <v>0</v>
      </c>
      <c r="AE28" s="15">
        <f>Продукция!$I$11</f>
        <v>0</v>
      </c>
      <c r="AF28" s="15">
        <f>Продукция!$I$11</f>
        <v>0</v>
      </c>
      <c r="AG28" s="17">
        <f>Продукция!$I$11</f>
        <v>0</v>
      </c>
      <c r="AH28" s="67"/>
      <c r="AI28" s="62">
        <f t="shared" si="22"/>
        <v>0</v>
      </c>
      <c r="AJ28" s="15">
        <f t="shared" si="26"/>
        <v>0</v>
      </c>
      <c r="AK28" s="15">
        <f t="shared" si="23"/>
        <v>0</v>
      </c>
      <c r="AL28" s="15">
        <f t="shared" si="23"/>
        <v>0</v>
      </c>
      <c r="AM28" s="15">
        <f t="shared" ref="AM28" si="29">AL28</f>
        <v>0</v>
      </c>
      <c r="AN28" s="15">
        <f t="shared" si="25"/>
        <v>0</v>
      </c>
    </row>
    <row r="29" spans="1:40" outlineLevel="1" x14ac:dyDescent="0.25">
      <c r="A29" s="4" t="s">
        <v>80</v>
      </c>
      <c r="B29" s="11" t="s">
        <v>74</v>
      </c>
      <c r="C29" s="24">
        <f t="shared" si="21"/>
        <v>426323.33333333331</v>
      </c>
      <c r="D29" s="15">
        <f>Продукция!$I$12/4</f>
        <v>3850</v>
      </c>
      <c r="E29" s="15">
        <f>Продукция!$I$12/3</f>
        <v>5133.333333333333</v>
      </c>
      <c r="F29" s="15">
        <f>Продукция!$I$12/2</f>
        <v>7700</v>
      </c>
      <c r="G29" s="15">
        <f>Продукция!$I$12*0.75</f>
        <v>11550</v>
      </c>
      <c r="H29" s="15">
        <f>Продукция!$I$12*0.85</f>
        <v>13090</v>
      </c>
      <c r="I29" s="15">
        <f>Продукция!$I$12</f>
        <v>15400</v>
      </c>
      <c r="J29" s="15">
        <f>Продукция!$I$12</f>
        <v>15400</v>
      </c>
      <c r="K29" s="15">
        <f>Продукция!$I$12</f>
        <v>15400</v>
      </c>
      <c r="L29" s="15">
        <f>Продукция!$I$12</f>
        <v>15400</v>
      </c>
      <c r="M29" s="15">
        <f>Продукция!$I$12</f>
        <v>15400</v>
      </c>
      <c r="N29" s="15">
        <f>Продукция!$I$12</f>
        <v>15400</v>
      </c>
      <c r="O29" s="15">
        <f>Продукция!$I$12</f>
        <v>15400</v>
      </c>
      <c r="P29" s="15">
        <f>Продукция!$I$12</f>
        <v>15400</v>
      </c>
      <c r="Q29" s="15">
        <f>Продукция!$I$12</f>
        <v>15400</v>
      </c>
      <c r="R29" s="15">
        <f>Продукция!$I$12</f>
        <v>15400</v>
      </c>
      <c r="S29" s="15">
        <f>Продукция!$I$12</f>
        <v>15400</v>
      </c>
      <c r="T29" s="15">
        <f>Продукция!$I$12</f>
        <v>15400</v>
      </c>
      <c r="U29" s="15">
        <f>Продукция!$I$12</f>
        <v>15400</v>
      </c>
      <c r="V29" s="15">
        <f>Продукция!$I$12</f>
        <v>15400</v>
      </c>
      <c r="W29" s="15">
        <f>Продукция!$I$12</f>
        <v>15400</v>
      </c>
      <c r="X29" s="15">
        <f>Продукция!$I$12</f>
        <v>15400</v>
      </c>
      <c r="Y29" s="15">
        <f>Продукция!$I$12</f>
        <v>15400</v>
      </c>
      <c r="Z29" s="15">
        <f>Продукция!$I$12</f>
        <v>15400</v>
      </c>
      <c r="AA29" s="15">
        <f>Продукция!$I$12</f>
        <v>15400</v>
      </c>
      <c r="AB29" s="15">
        <f>Продукция!$I$12</f>
        <v>15400</v>
      </c>
      <c r="AC29" s="15">
        <f>Продукция!$I$12</f>
        <v>15400</v>
      </c>
      <c r="AD29" s="15">
        <f>Продукция!$I$12</f>
        <v>15400</v>
      </c>
      <c r="AE29" s="15">
        <f>Продукция!$I$12</f>
        <v>15400</v>
      </c>
      <c r="AF29" s="15">
        <f>Продукция!$I$12</f>
        <v>15400</v>
      </c>
      <c r="AG29" s="17">
        <f>Продукция!$I$12</f>
        <v>15400</v>
      </c>
      <c r="AH29" s="67"/>
      <c r="AI29" s="62">
        <f t="shared" si="22"/>
        <v>149123.33333333331</v>
      </c>
      <c r="AJ29" s="15">
        <f t="shared" si="26"/>
        <v>184800</v>
      </c>
      <c r="AK29" s="15">
        <f t="shared" si="23"/>
        <v>184800</v>
      </c>
      <c r="AL29" s="15">
        <f t="shared" si="23"/>
        <v>184800</v>
      </c>
      <c r="AM29" s="15">
        <f t="shared" ref="AM29" si="30">AL29</f>
        <v>184800</v>
      </c>
      <c r="AN29" s="15">
        <f t="shared" si="25"/>
        <v>888323.33333333326</v>
      </c>
    </row>
    <row r="30" spans="1:40" outlineLevel="1" x14ac:dyDescent="0.25">
      <c r="A30" s="4" t="s">
        <v>81</v>
      </c>
      <c r="B30" s="11" t="s">
        <v>66</v>
      </c>
      <c r="C30" s="24">
        <f t="shared" si="21"/>
        <v>0</v>
      </c>
      <c r="D30" s="15">
        <f>Продукция!$I$5/4</f>
        <v>0</v>
      </c>
      <c r="E30" s="15">
        <f>Продукция!$I$5/3</f>
        <v>0</v>
      </c>
      <c r="F30" s="15">
        <f>Продукция!$I$5/2</f>
        <v>0</v>
      </c>
      <c r="G30" s="15">
        <f>Продукция!$I$5*0.75</f>
        <v>0</v>
      </c>
      <c r="H30" s="15">
        <f>Продукция!$I$5*0.85</f>
        <v>0</v>
      </c>
      <c r="I30" s="15">
        <f>Продукция!$I$5</f>
        <v>0</v>
      </c>
      <c r="J30" s="15">
        <f>Продукция!$I$5</f>
        <v>0</v>
      </c>
      <c r="K30" s="15">
        <f>Продукция!$I$5</f>
        <v>0</v>
      </c>
      <c r="L30" s="15">
        <f>Продукция!$I$5</f>
        <v>0</v>
      </c>
      <c r="M30" s="15">
        <f>Продукция!$I$5</f>
        <v>0</v>
      </c>
      <c r="N30" s="15">
        <f>Продукция!$I$5</f>
        <v>0</v>
      </c>
      <c r="O30" s="15">
        <f>Продукция!$I$5</f>
        <v>0</v>
      </c>
      <c r="P30" s="15">
        <f>Продукция!$I$5</f>
        <v>0</v>
      </c>
      <c r="Q30" s="15">
        <f>Продукция!$I$5</f>
        <v>0</v>
      </c>
      <c r="R30" s="15">
        <f>Продукция!$I$5</f>
        <v>0</v>
      </c>
      <c r="S30" s="15">
        <f>Продукция!$I$5</f>
        <v>0</v>
      </c>
      <c r="T30" s="15">
        <f>Продукция!$I$5</f>
        <v>0</v>
      </c>
      <c r="U30" s="15">
        <f>Продукция!$I$5</f>
        <v>0</v>
      </c>
      <c r="V30" s="15">
        <f>Продукция!$I$5</f>
        <v>0</v>
      </c>
      <c r="W30" s="15">
        <f>Продукция!$I$5</f>
        <v>0</v>
      </c>
      <c r="X30" s="15">
        <f>Продукция!$I$5</f>
        <v>0</v>
      </c>
      <c r="Y30" s="15">
        <f>Продукция!$I$5</f>
        <v>0</v>
      </c>
      <c r="Z30" s="15">
        <f>Продукция!$I$5</f>
        <v>0</v>
      </c>
      <c r="AA30" s="15">
        <f>Продукция!$I$5</f>
        <v>0</v>
      </c>
      <c r="AB30" s="15">
        <f>Продукция!$I$5</f>
        <v>0</v>
      </c>
      <c r="AC30" s="15">
        <f>Продукция!$I$5</f>
        <v>0</v>
      </c>
      <c r="AD30" s="15">
        <f>Продукция!$I$5</f>
        <v>0</v>
      </c>
      <c r="AE30" s="15">
        <f>Продукция!$I$5</f>
        <v>0</v>
      </c>
      <c r="AF30" s="15">
        <f>Продукция!$I$5</f>
        <v>0</v>
      </c>
      <c r="AG30" s="17">
        <f>Продукция!$I$5</f>
        <v>0</v>
      </c>
      <c r="AH30" s="67"/>
      <c r="AI30" s="62">
        <f t="shared" si="22"/>
        <v>0</v>
      </c>
      <c r="AJ30" s="15">
        <f t="shared" si="26"/>
        <v>0</v>
      </c>
      <c r="AK30" s="15">
        <f t="shared" si="23"/>
        <v>0</v>
      </c>
      <c r="AL30" s="15">
        <f t="shared" si="23"/>
        <v>0</v>
      </c>
      <c r="AM30" s="15">
        <f t="shared" ref="AM30" si="31">AL30</f>
        <v>0</v>
      </c>
      <c r="AN30" s="15">
        <f t="shared" si="25"/>
        <v>0</v>
      </c>
    </row>
    <row r="31" spans="1:40" outlineLevel="1" x14ac:dyDescent="0.25">
      <c r="A31" s="4" t="s">
        <v>82</v>
      </c>
      <c r="B31" s="11" t="s">
        <v>84</v>
      </c>
      <c r="C31" s="24">
        <f t="shared" si="21"/>
        <v>116270</v>
      </c>
      <c r="D31" s="15">
        <f>Продукция!$I$7/4</f>
        <v>1050</v>
      </c>
      <c r="E31" s="15">
        <f>Продукция!$I$7/3</f>
        <v>1400</v>
      </c>
      <c r="F31" s="15">
        <f>Продукция!$I$7/2</f>
        <v>2100</v>
      </c>
      <c r="G31" s="15">
        <f>Продукция!$I$7*0.75</f>
        <v>3150</v>
      </c>
      <c r="H31" s="15">
        <f>Продукция!$I$7*0.85</f>
        <v>3570</v>
      </c>
      <c r="I31" s="15">
        <f>Продукция!$I$7</f>
        <v>4200</v>
      </c>
      <c r="J31" s="15">
        <f>Продукция!$I$7</f>
        <v>4200</v>
      </c>
      <c r="K31" s="15">
        <f>Продукция!$I$7</f>
        <v>4200</v>
      </c>
      <c r="L31" s="15">
        <f>Продукция!$I$7</f>
        <v>4200</v>
      </c>
      <c r="M31" s="15">
        <f>Продукция!$I$7</f>
        <v>4200</v>
      </c>
      <c r="N31" s="15">
        <f>Продукция!$I$7</f>
        <v>4200</v>
      </c>
      <c r="O31" s="15">
        <f>Продукция!$I$7</f>
        <v>4200</v>
      </c>
      <c r="P31" s="15">
        <f>Продукция!$I$7</f>
        <v>4200</v>
      </c>
      <c r="Q31" s="15">
        <f>Продукция!$I$7</f>
        <v>4200</v>
      </c>
      <c r="R31" s="15">
        <f>Продукция!$I$7</f>
        <v>4200</v>
      </c>
      <c r="S31" s="15">
        <f>Продукция!$I$7</f>
        <v>4200</v>
      </c>
      <c r="T31" s="15">
        <f>Продукция!$I$7</f>
        <v>4200</v>
      </c>
      <c r="U31" s="15">
        <f>Продукция!$I$7</f>
        <v>4200</v>
      </c>
      <c r="V31" s="15">
        <f>Продукция!$I$7</f>
        <v>4200</v>
      </c>
      <c r="W31" s="15">
        <f>Продукция!$I$7</f>
        <v>4200</v>
      </c>
      <c r="X31" s="15">
        <f>Продукция!$I$7</f>
        <v>4200</v>
      </c>
      <c r="Y31" s="15">
        <f>Продукция!$I$7</f>
        <v>4200</v>
      </c>
      <c r="Z31" s="15">
        <f>Продукция!$I$7</f>
        <v>4200</v>
      </c>
      <c r="AA31" s="15">
        <f>Продукция!$I$7</f>
        <v>4200</v>
      </c>
      <c r="AB31" s="15">
        <f>Продукция!$I$7</f>
        <v>4200</v>
      </c>
      <c r="AC31" s="15">
        <f>Продукция!$I$7</f>
        <v>4200</v>
      </c>
      <c r="AD31" s="15">
        <f>Продукция!$I$7</f>
        <v>4200</v>
      </c>
      <c r="AE31" s="15">
        <f>Продукция!$I$7</f>
        <v>4200</v>
      </c>
      <c r="AF31" s="15">
        <f>Продукция!$I$7</f>
        <v>4200</v>
      </c>
      <c r="AG31" s="17">
        <f>Продукция!$I$7</f>
        <v>4200</v>
      </c>
      <c r="AH31" s="67"/>
      <c r="AI31" s="62">
        <f t="shared" si="22"/>
        <v>40670</v>
      </c>
      <c r="AJ31" s="15">
        <f t="shared" si="26"/>
        <v>50400</v>
      </c>
      <c r="AK31" s="15">
        <f t="shared" si="23"/>
        <v>50400</v>
      </c>
      <c r="AL31" s="15">
        <f t="shared" si="23"/>
        <v>50400</v>
      </c>
      <c r="AM31" s="15">
        <f t="shared" ref="AM31" si="32">AL31</f>
        <v>50400</v>
      </c>
      <c r="AN31" s="15">
        <f t="shared" si="25"/>
        <v>242270</v>
      </c>
    </row>
    <row r="32" spans="1:40" outlineLevel="1" x14ac:dyDescent="0.25">
      <c r="A32" s="4" t="s">
        <v>83</v>
      </c>
      <c r="B32" s="11" t="s">
        <v>105</v>
      </c>
      <c r="C32" s="24">
        <f t="shared" si="21"/>
        <v>930160</v>
      </c>
      <c r="D32" s="15">
        <f>Продукция!$I$13/4</f>
        <v>8400</v>
      </c>
      <c r="E32" s="15">
        <f>Продукция!$I$13/3</f>
        <v>11200</v>
      </c>
      <c r="F32" s="15">
        <f>Продукция!$I$13/2</f>
        <v>16800</v>
      </c>
      <c r="G32" s="15">
        <f>Продукция!$I$13*0.75</f>
        <v>25200</v>
      </c>
      <c r="H32" s="15">
        <f>Продукция!$I$13*0.85</f>
        <v>28560</v>
      </c>
      <c r="I32" s="15">
        <f>Продукция!$I$13</f>
        <v>33600</v>
      </c>
      <c r="J32" s="15">
        <f>Продукция!$I$13</f>
        <v>33600</v>
      </c>
      <c r="K32" s="15">
        <f>Продукция!$I$13</f>
        <v>33600</v>
      </c>
      <c r="L32" s="15">
        <f>Продукция!$I$13</f>
        <v>33600</v>
      </c>
      <c r="M32" s="15">
        <f>Продукция!$I$13</f>
        <v>33600</v>
      </c>
      <c r="N32" s="15">
        <f>Продукция!$I$13</f>
        <v>33600</v>
      </c>
      <c r="O32" s="15">
        <f>Продукция!$I$13</f>
        <v>33600</v>
      </c>
      <c r="P32" s="15">
        <f>Продукция!$I$13</f>
        <v>33600</v>
      </c>
      <c r="Q32" s="15">
        <f>Продукция!$I$13</f>
        <v>33600</v>
      </c>
      <c r="R32" s="15">
        <f>Продукция!$I$13</f>
        <v>33600</v>
      </c>
      <c r="S32" s="15">
        <f>Продукция!$I$13</f>
        <v>33600</v>
      </c>
      <c r="T32" s="15">
        <f>Продукция!$I$13</f>
        <v>33600</v>
      </c>
      <c r="U32" s="15">
        <f>Продукция!$I$13</f>
        <v>33600</v>
      </c>
      <c r="V32" s="15">
        <f>Продукция!$I$13</f>
        <v>33600</v>
      </c>
      <c r="W32" s="15">
        <f>Продукция!$I$13</f>
        <v>33600</v>
      </c>
      <c r="X32" s="15">
        <f>Продукция!$I$13</f>
        <v>33600</v>
      </c>
      <c r="Y32" s="15">
        <f>Продукция!$I$13</f>
        <v>33600</v>
      </c>
      <c r="Z32" s="15">
        <f>Продукция!$I$13</f>
        <v>33600</v>
      </c>
      <c r="AA32" s="15">
        <f>Продукция!$I$13</f>
        <v>33600</v>
      </c>
      <c r="AB32" s="15">
        <f>Продукция!$I$13</f>
        <v>33600</v>
      </c>
      <c r="AC32" s="15">
        <f>Продукция!$I$13</f>
        <v>33600</v>
      </c>
      <c r="AD32" s="15">
        <f>Продукция!$I$13</f>
        <v>33600</v>
      </c>
      <c r="AE32" s="15">
        <f>Продукция!$I$13</f>
        <v>33600</v>
      </c>
      <c r="AF32" s="15">
        <f>Продукция!$I$13</f>
        <v>33600</v>
      </c>
      <c r="AG32" s="17">
        <f>Продукция!$I$13</f>
        <v>33600</v>
      </c>
      <c r="AH32" s="67"/>
      <c r="AI32" s="62">
        <f t="shared" si="22"/>
        <v>325360</v>
      </c>
      <c r="AJ32" s="15">
        <f t="shared" si="26"/>
        <v>403200</v>
      </c>
      <c r="AK32" s="15">
        <f t="shared" si="23"/>
        <v>403200</v>
      </c>
      <c r="AL32" s="15">
        <f t="shared" si="23"/>
        <v>403200</v>
      </c>
      <c r="AM32" s="15">
        <f t="shared" ref="AM32" si="33">AL32</f>
        <v>403200</v>
      </c>
      <c r="AN32" s="15">
        <f t="shared" si="25"/>
        <v>1938160</v>
      </c>
    </row>
    <row r="33" spans="1:40" outlineLevel="1" x14ac:dyDescent="0.25">
      <c r="A33" s="4" t="s">
        <v>231</v>
      </c>
      <c r="B33" s="11" t="s">
        <v>64</v>
      </c>
      <c r="C33" s="24">
        <f t="shared" si="21"/>
        <v>0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7"/>
      <c r="AH33" s="67"/>
      <c r="AI33" s="62"/>
      <c r="AJ33" s="15"/>
      <c r="AK33" s="15"/>
      <c r="AL33" s="15"/>
      <c r="AM33" s="15"/>
      <c r="AN33" s="15"/>
    </row>
    <row r="34" spans="1:40" ht="15.75" x14ac:dyDescent="0.25">
      <c r="A34" s="3" t="s">
        <v>55</v>
      </c>
      <c r="B34" s="9" t="s">
        <v>58</v>
      </c>
      <c r="C34" s="25"/>
      <c r="D34" s="15">
        <f t="shared" ref="D34:AG34" si="34">D23-D3</f>
        <v>133097</v>
      </c>
      <c r="E34" s="15">
        <f t="shared" si="34"/>
        <v>123697.33333333334</v>
      </c>
      <c r="F34" s="15">
        <f t="shared" si="34"/>
        <v>133852</v>
      </c>
      <c r="G34" s="15">
        <f t="shared" si="34"/>
        <v>149084</v>
      </c>
      <c r="H34" s="15">
        <f t="shared" si="34"/>
        <v>155176.79999999999</v>
      </c>
      <c r="I34" s="15">
        <f t="shared" si="34"/>
        <v>164316</v>
      </c>
      <c r="J34" s="15">
        <f t="shared" si="34"/>
        <v>161316</v>
      </c>
      <c r="K34" s="15">
        <f t="shared" si="34"/>
        <v>164316</v>
      </c>
      <c r="L34" s="15">
        <f t="shared" si="34"/>
        <v>164316</v>
      </c>
      <c r="M34" s="15">
        <f t="shared" si="34"/>
        <v>164316</v>
      </c>
      <c r="N34" s="15">
        <f t="shared" si="34"/>
        <v>164316</v>
      </c>
      <c r="O34" s="15">
        <f t="shared" si="34"/>
        <v>164316</v>
      </c>
      <c r="P34" s="15">
        <f>P23-P3</f>
        <v>164316</v>
      </c>
      <c r="Q34" s="15">
        <f t="shared" si="34"/>
        <v>164316</v>
      </c>
      <c r="R34" s="15">
        <f t="shared" si="34"/>
        <v>161316</v>
      </c>
      <c r="S34" s="15">
        <f t="shared" si="34"/>
        <v>164316</v>
      </c>
      <c r="T34" s="15">
        <f t="shared" si="34"/>
        <v>164316</v>
      </c>
      <c r="U34" s="15">
        <f t="shared" ref="U34:AF34" si="35">U23-U3</f>
        <v>164316</v>
      </c>
      <c r="V34" s="15">
        <f t="shared" si="35"/>
        <v>164316</v>
      </c>
      <c r="W34" s="15">
        <f t="shared" si="35"/>
        <v>164316</v>
      </c>
      <c r="X34" s="15">
        <f t="shared" ref="X34:AC34" si="36">X23-X3</f>
        <v>164316</v>
      </c>
      <c r="Y34" s="15">
        <f t="shared" si="36"/>
        <v>164316</v>
      </c>
      <c r="Z34" s="15">
        <f t="shared" si="36"/>
        <v>164316</v>
      </c>
      <c r="AA34" s="15">
        <f t="shared" si="36"/>
        <v>164316</v>
      </c>
      <c r="AB34" s="15">
        <f t="shared" si="36"/>
        <v>164316</v>
      </c>
      <c r="AC34" s="15">
        <f t="shared" si="36"/>
        <v>164316</v>
      </c>
      <c r="AD34" s="15">
        <f t="shared" si="35"/>
        <v>164316</v>
      </c>
      <c r="AE34" s="15">
        <f t="shared" si="35"/>
        <v>164316</v>
      </c>
      <c r="AF34" s="15">
        <f t="shared" si="35"/>
        <v>164316</v>
      </c>
      <c r="AG34" s="17">
        <f t="shared" si="34"/>
        <v>164316</v>
      </c>
      <c r="AH34" s="67"/>
      <c r="AI34" s="62">
        <f t="shared" ref="AI34:AM34" si="37">AI23-AI3</f>
        <v>1842119.1333333333</v>
      </c>
      <c r="AJ34" s="15">
        <f t="shared" si="37"/>
        <v>1968792</v>
      </c>
      <c r="AK34" s="15">
        <f t="shared" si="37"/>
        <v>1968792</v>
      </c>
      <c r="AL34" s="15">
        <f t="shared" si="37"/>
        <v>1968792</v>
      </c>
      <c r="AM34" s="15">
        <f t="shared" si="37"/>
        <v>1968792</v>
      </c>
      <c r="AN34" s="15">
        <f t="shared" ref="AN34" si="38">AN23-AN3</f>
        <v>9717287.133333331</v>
      </c>
    </row>
    <row r="35" spans="1:40" ht="15.75" x14ac:dyDescent="0.25">
      <c r="A35" s="3" t="s">
        <v>57</v>
      </c>
      <c r="B35" s="9" t="s">
        <v>86</v>
      </c>
      <c r="C35" s="25"/>
      <c r="D35" s="15">
        <f>D34</f>
        <v>133097</v>
      </c>
      <c r="E35" s="15">
        <f>D35+E34</f>
        <v>256794.33333333334</v>
      </c>
      <c r="F35" s="15">
        <f t="shared" ref="F35:R35" si="39">E35+F34</f>
        <v>390646.33333333337</v>
      </c>
      <c r="G35" s="15">
        <f t="shared" si="39"/>
        <v>539730.33333333337</v>
      </c>
      <c r="H35" s="15">
        <f t="shared" si="39"/>
        <v>694907.1333333333</v>
      </c>
      <c r="I35" s="15">
        <f t="shared" si="39"/>
        <v>859223.1333333333</v>
      </c>
      <c r="J35" s="15">
        <f t="shared" si="39"/>
        <v>1020539.1333333333</v>
      </c>
      <c r="K35" s="15">
        <f t="shared" si="39"/>
        <v>1184855.1333333333</v>
      </c>
      <c r="L35" s="15">
        <f t="shared" si="39"/>
        <v>1349171.1333333333</v>
      </c>
      <c r="M35" s="15">
        <f t="shared" si="39"/>
        <v>1513487.1333333333</v>
      </c>
      <c r="N35" s="15">
        <f>M35+N34</f>
        <v>1677803.1333333333</v>
      </c>
      <c r="O35" s="15">
        <f>N35+O34</f>
        <v>1842119.1333333333</v>
      </c>
      <c r="P35" s="15">
        <f>O35+P34</f>
        <v>2006435.1333333333</v>
      </c>
      <c r="Q35" s="15">
        <f t="shared" si="39"/>
        <v>2170751.1333333333</v>
      </c>
      <c r="R35" s="15">
        <f t="shared" si="39"/>
        <v>2332067.1333333333</v>
      </c>
      <c r="S35" s="15">
        <f t="shared" ref="S35:Y35" si="40">R35+S34</f>
        <v>2496383.1333333333</v>
      </c>
      <c r="T35" s="15">
        <f t="shared" si="40"/>
        <v>2660699.1333333333</v>
      </c>
      <c r="U35" s="15">
        <f t="shared" si="40"/>
        <v>2825015.1333333333</v>
      </c>
      <c r="V35" s="15">
        <f t="shared" si="40"/>
        <v>2989331.1333333333</v>
      </c>
      <c r="W35" s="15">
        <f t="shared" si="40"/>
        <v>3153647.1333333333</v>
      </c>
      <c r="X35" s="15">
        <f t="shared" si="40"/>
        <v>3317963.1333333333</v>
      </c>
      <c r="Y35" s="15">
        <f t="shared" si="40"/>
        <v>3482279.1333333333</v>
      </c>
      <c r="Z35" s="15">
        <f t="shared" ref="Z35" si="41">Y35+Z34</f>
        <v>3646595.1333333333</v>
      </c>
      <c r="AA35" s="15">
        <f t="shared" ref="AA35" si="42">Z35+AA34</f>
        <v>3810911.1333333333</v>
      </c>
      <c r="AB35" s="15">
        <f t="shared" ref="AB35" si="43">AA35+AB34</f>
        <v>3975227.1333333333</v>
      </c>
      <c r="AC35" s="15">
        <f t="shared" ref="AC35" si="44">AB35+AC34</f>
        <v>4139543.1333333333</v>
      </c>
      <c r="AD35" s="15">
        <f t="shared" ref="AD35" si="45">AC35+AD34</f>
        <v>4303859.1333333328</v>
      </c>
      <c r="AE35" s="15">
        <f t="shared" ref="AE35" si="46">AD35+AE34</f>
        <v>4468175.1333333328</v>
      </c>
      <c r="AF35" s="15">
        <f t="shared" ref="AF35" si="47">AE35+AF34</f>
        <v>4632491.1333333328</v>
      </c>
      <c r="AG35" s="17">
        <f t="shared" ref="AG35" si="48">AF35+AG34</f>
        <v>4796807.1333333328</v>
      </c>
      <c r="AH35" s="67"/>
      <c r="AI35" s="62">
        <f>AI23-AI3</f>
        <v>1842119.1333333333</v>
      </c>
      <c r="AJ35" s="15">
        <f t="shared" ref="AJ35:AN35" si="49">AI35+AJ34</f>
        <v>3810911.1333333333</v>
      </c>
      <c r="AK35" s="15">
        <f t="shared" si="49"/>
        <v>5779703.1333333328</v>
      </c>
      <c r="AL35" s="15">
        <f t="shared" si="49"/>
        <v>7748495.1333333328</v>
      </c>
      <c r="AM35" s="15">
        <f t="shared" si="49"/>
        <v>9717287.1333333328</v>
      </c>
      <c r="AN35" s="15">
        <f t="shared" si="49"/>
        <v>19434574.266666666</v>
      </c>
    </row>
    <row r="36" spans="1:40" ht="15.75" x14ac:dyDescent="0.25">
      <c r="A36" s="3" t="s">
        <v>59</v>
      </c>
      <c r="B36" s="16" t="s">
        <v>56</v>
      </c>
      <c r="C36" s="26">
        <f>SUM(D36:AG36)</f>
        <v>4723640.9090909092</v>
      </c>
      <c r="D36" s="17">
        <v>133097</v>
      </c>
      <c r="E36" s="17">
        <v>123697.33333333334</v>
      </c>
      <c r="F36" s="17">
        <v>133852</v>
      </c>
      <c r="G36" s="17">
        <v>149084</v>
      </c>
      <c r="H36" s="17">
        <v>155176.79999999999</v>
      </c>
      <c r="I36" s="17">
        <v>164316</v>
      </c>
      <c r="J36" s="17">
        <v>161316</v>
      </c>
      <c r="K36" s="17">
        <v>164316</v>
      </c>
      <c r="L36" s="17">
        <v>164316</v>
      </c>
      <c r="M36" s="17">
        <v>164316</v>
      </c>
      <c r="N36" s="17">
        <v>164316</v>
      </c>
      <c r="O36" s="17">
        <v>164316</v>
      </c>
      <c r="P36" s="17">
        <v>164316</v>
      </c>
      <c r="Q36" s="17">
        <v>164316</v>
      </c>
      <c r="R36" s="17">
        <v>161316</v>
      </c>
      <c r="S36" s="17">
        <v>164316</v>
      </c>
      <c r="T36" s="17">
        <v>164316</v>
      </c>
      <c r="U36" s="17">
        <v>164316</v>
      </c>
      <c r="V36" s="17">
        <v>164316</v>
      </c>
      <c r="W36" s="17">
        <v>164316</v>
      </c>
      <c r="X36" s="17">
        <v>164316</v>
      </c>
      <c r="Y36" s="17">
        <v>164316</v>
      </c>
      <c r="Z36" s="17">
        <v>164316</v>
      </c>
      <c r="AA36" s="17">
        <v>164316</v>
      </c>
      <c r="AB36" s="17">
        <v>164316</v>
      </c>
      <c r="AC36" s="17">
        <v>164316</v>
      </c>
      <c r="AD36" s="17">
        <v>164316</v>
      </c>
      <c r="AE36" s="17">
        <v>164316</v>
      </c>
      <c r="AF36" s="17">
        <v>164316</v>
      </c>
      <c r="AG36" s="17">
        <v>91149.775757576339</v>
      </c>
      <c r="AH36" s="67"/>
      <c r="AI36" s="63">
        <f>SUM(D36:O36)</f>
        <v>1842119.1333333333</v>
      </c>
      <c r="AJ36" s="63">
        <f>SUM(P36:AA36)</f>
        <v>1968792</v>
      </c>
      <c r="AK36" s="63">
        <f>SUM(AB36:AG36)</f>
        <v>912729.77575757634</v>
      </c>
      <c r="AL36" s="17"/>
      <c r="AM36" s="17"/>
      <c r="AN36" s="17">
        <f>SUM(AI36:AM36)</f>
        <v>4723640.9090909101</v>
      </c>
    </row>
    <row r="37" spans="1:40" ht="15.75" x14ac:dyDescent="0.25">
      <c r="A37" s="5" t="s">
        <v>62</v>
      </c>
      <c r="B37" s="9" t="s">
        <v>60</v>
      </c>
      <c r="C37" s="15">
        <f>SUM(D37:AG37)</f>
        <v>0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7"/>
      <c r="AH37" s="67"/>
      <c r="AI37" s="62"/>
      <c r="AJ37" s="15"/>
      <c r="AK37" s="15"/>
      <c r="AL37" s="15"/>
      <c r="AM37" s="15"/>
      <c r="AN37" s="15">
        <f>SUM(AI37:AM37)</f>
        <v>0</v>
      </c>
    </row>
    <row r="38" spans="1:40" ht="15.75" x14ac:dyDescent="0.25">
      <c r="A38" s="3" t="s">
        <v>85</v>
      </c>
      <c r="B38" s="12" t="s">
        <v>61</v>
      </c>
      <c r="C38" s="26">
        <f>SUM(D38:AG38)</f>
        <v>73166.224242423661</v>
      </c>
      <c r="D38" s="15">
        <f>D34-D36-D37</f>
        <v>0</v>
      </c>
      <c r="E38" s="15">
        <f>E34-E36-E37+D38</f>
        <v>0</v>
      </c>
      <c r="F38" s="15">
        <f t="shared" ref="F38:S38" si="50">F34-F36-F37+E38</f>
        <v>0</v>
      </c>
      <c r="G38" s="15">
        <f t="shared" si="50"/>
        <v>0</v>
      </c>
      <c r="H38" s="15">
        <f t="shared" si="50"/>
        <v>0</v>
      </c>
      <c r="I38" s="15">
        <f t="shared" si="50"/>
        <v>0</v>
      </c>
      <c r="J38" s="15">
        <f t="shared" si="50"/>
        <v>0</v>
      </c>
      <c r="K38" s="15">
        <f t="shared" si="50"/>
        <v>0</v>
      </c>
      <c r="L38" s="15">
        <f t="shared" si="50"/>
        <v>0</v>
      </c>
      <c r="M38" s="15">
        <f t="shared" si="50"/>
        <v>0</v>
      </c>
      <c r="N38" s="15">
        <f t="shared" si="50"/>
        <v>0</v>
      </c>
      <c r="O38" s="15">
        <f t="shared" si="50"/>
        <v>0</v>
      </c>
      <c r="P38" s="15">
        <f t="shared" si="50"/>
        <v>0</v>
      </c>
      <c r="Q38" s="15">
        <f t="shared" si="50"/>
        <v>0</v>
      </c>
      <c r="R38" s="15">
        <f>R34-R36-R37+Q38</f>
        <v>0</v>
      </c>
      <c r="S38" s="15">
        <f t="shared" si="50"/>
        <v>0</v>
      </c>
      <c r="T38" s="15">
        <f>T34-T36-T37+S38</f>
        <v>0</v>
      </c>
      <c r="U38" s="15">
        <f t="shared" ref="U38:AG38" si="51">U34-U36-U37+T38</f>
        <v>0</v>
      </c>
      <c r="V38" s="15">
        <f t="shared" si="51"/>
        <v>0</v>
      </c>
      <c r="W38" s="15">
        <f t="shared" si="51"/>
        <v>0</v>
      </c>
      <c r="X38" s="15">
        <f t="shared" ref="X38" si="52">X34-X36-X37+W38</f>
        <v>0</v>
      </c>
      <c r="Y38" s="15">
        <f t="shared" ref="Y38" si="53">Y34-Y36-Y37+X38</f>
        <v>0</v>
      </c>
      <c r="Z38" s="15">
        <f t="shared" ref="Z38" si="54">Z34-Z36-Z37+Y38</f>
        <v>0</v>
      </c>
      <c r="AA38" s="15">
        <f t="shared" ref="AA38" si="55">AA34-AA36-AA37+Z38</f>
        <v>0</v>
      </c>
      <c r="AB38" s="15">
        <f t="shared" ref="AB38" si="56">AB34-AB36-AB37+AA38</f>
        <v>0</v>
      </c>
      <c r="AC38" s="15">
        <f t="shared" ref="AC38" si="57">AC34-AC36-AC37+AB38</f>
        <v>0</v>
      </c>
      <c r="AD38" s="15">
        <f t="shared" ref="AD38" si="58">AD34-AD36-AD37+AC38</f>
        <v>0</v>
      </c>
      <c r="AE38" s="15">
        <f t="shared" ref="AE38" si="59">AE34-AE36-AE37+AD38</f>
        <v>0</v>
      </c>
      <c r="AF38" s="15">
        <f t="shared" ref="AF38" si="60">AF34-AF36-AF37+AE38</f>
        <v>0</v>
      </c>
      <c r="AG38" s="15">
        <f t="shared" si="51"/>
        <v>73166.224242423661</v>
      </c>
      <c r="AH38" s="67"/>
      <c r="AI38" s="15">
        <f>AI34-AI36-AI37</f>
        <v>0</v>
      </c>
      <c r="AJ38" s="15">
        <f>AJ34-AJ36-AJ37+AI38</f>
        <v>0</v>
      </c>
      <c r="AK38" s="15">
        <f t="shared" ref="AK38:AM38" si="61">AK34-AK36-AK37+AJ38</f>
        <v>1056062.2242424237</v>
      </c>
      <c r="AL38" s="15">
        <f t="shared" si="61"/>
        <v>3024854.2242424237</v>
      </c>
      <c r="AM38" s="15">
        <f t="shared" si="61"/>
        <v>4993646.2242424237</v>
      </c>
      <c r="AN38" s="15">
        <f>SUM(AI38:AM38)</f>
        <v>9074562.6727272719</v>
      </c>
    </row>
    <row r="39" spans="1:40" x14ac:dyDescent="0.25">
      <c r="A39" s="4"/>
      <c r="B39" s="11"/>
      <c r="C39" s="2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67"/>
      <c r="AI39" s="62"/>
      <c r="AJ39" s="15"/>
      <c r="AK39" s="15"/>
      <c r="AL39" s="15"/>
      <c r="AM39" s="15"/>
      <c r="AN39" s="15"/>
    </row>
    <row r="40" spans="1:40" ht="15.75" thickBot="1" x14ac:dyDescent="0.3">
      <c r="A40" s="4"/>
      <c r="B40" s="10"/>
      <c r="C40" s="2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65"/>
      <c r="AI40" s="62"/>
      <c r="AJ40" s="15"/>
      <c r="AK40" s="15"/>
      <c r="AL40" s="15"/>
      <c r="AM40" s="15"/>
      <c r="AN40" s="15"/>
    </row>
    <row r="42" spans="1:40" x14ac:dyDescent="0.25">
      <c r="B42" s="30" t="s">
        <v>109</v>
      </c>
      <c r="C42" s="24">
        <f>CAPEX!C3</f>
        <v>4723640.9090909092</v>
      </c>
      <c r="AI42" s="74"/>
      <c r="AJ42" s="74"/>
    </row>
    <row r="43" spans="1:40" x14ac:dyDescent="0.25">
      <c r="C43" s="57">
        <f>C42-C36</f>
        <v>0</v>
      </c>
    </row>
    <row r="44" spans="1:40" x14ac:dyDescent="0.25">
      <c r="B44" s="72" t="s">
        <v>248</v>
      </c>
      <c r="C44" s="73" t="s">
        <v>306</v>
      </c>
    </row>
    <row r="45" spans="1:40" x14ac:dyDescent="0.25">
      <c r="B45" s="79" t="s">
        <v>281</v>
      </c>
    </row>
    <row r="46" spans="1:40" x14ac:dyDescent="0.25">
      <c r="B46" s="79" t="s">
        <v>282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3"/>
  <sheetViews>
    <sheetView showGridLines="0" zoomScale="80" zoomScaleNormal="80" workbookViewId="0"/>
  </sheetViews>
  <sheetFormatPr defaultRowHeight="15" x14ac:dyDescent="0.25"/>
  <cols>
    <col min="1" max="1" width="5" customWidth="1"/>
    <col min="2" max="2" width="52.85546875" bestFit="1" customWidth="1"/>
    <col min="3" max="3" width="13.85546875" customWidth="1"/>
    <col min="4" max="4" width="13.42578125" customWidth="1"/>
    <col min="5" max="5" width="10.42578125" bestFit="1" customWidth="1"/>
    <col min="6" max="6" width="13.140625" customWidth="1"/>
    <col min="7" max="7" width="16.5703125" bestFit="1" customWidth="1"/>
  </cols>
  <sheetData>
    <row r="1" spans="1:7" x14ac:dyDescent="0.25">
      <c r="B1" t="s">
        <v>249</v>
      </c>
      <c r="C1" s="76" t="s">
        <v>256</v>
      </c>
      <c r="D1" s="75">
        <v>88</v>
      </c>
    </row>
    <row r="2" spans="1:7" ht="45" x14ac:dyDescent="0.25">
      <c r="A2" s="34" t="s">
        <v>0</v>
      </c>
      <c r="B2" s="34" t="s">
        <v>1</v>
      </c>
      <c r="C2" s="34" t="s">
        <v>123</v>
      </c>
      <c r="D2" s="34" t="s">
        <v>259</v>
      </c>
      <c r="E2" s="34" t="s">
        <v>124</v>
      </c>
      <c r="F2" s="34" t="s">
        <v>258</v>
      </c>
      <c r="G2" s="34" t="s">
        <v>257</v>
      </c>
    </row>
    <row r="3" spans="1:7" x14ac:dyDescent="0.25">
      <c r="A3" s="38">
        <v>1</v>
      </c>
      <c r="B3" s="36" t="s">
        <v>125</v>
      </c>
      <c r="C3" s="33"/>
      <c r="D3" s="39"/>
      <c r="E3" s="39"/>
      <c r="F3" s="39"/>
      <c r="G3" s="39"/>
    </row>
    <row r="4" spans="1:7" x14ac:dyDescent="0.25">
      <c r="A4" s="41"/>
      <c r="B4" s="18" t="s">
        <v>253</v>
      </c>
      <c r="C4" s="31">
        <v>132</v>
      </c>
      <c r="D4" s="40">
        <v>21000000</v>
      </c>
      <c r="E4" s="40">
        <v>1</v>
      </c>
      <c r="F4" s="77">
        <f>G4/$D$1</f>
        <v>238636.36363636365</v>
      </c>
      <c r="G4" s="40">
        <f>D4*E4</f>
        <v>21000000</v>
      </c>
    </row>
    <row r="5" spans="1:7" x14ac:dyDescent="0.25">
      <c r="A5" s="41" t="s">
        <v>23</v>
      </c>
      <c r="B5" s="18" t="s">
        <v>284</v>
      </c>
      <c r="C5" s="31">
        <v>2</v>
      </c>
      <c r="D5" s="40">
        <v>2200000</v>
      </c>
      <c r="E5" s="40">
        <v>2</v>
      </c>
      <c r="F5" s="77">
        <f>G5/$D$1</f>
        <v>50000</v>
      </c>
      <c r="G5" s="40">
        <f t="shared" ref="G5:G9" si="0">D5*E5</f>
        <v>4400000</v>
      </c>
    </row>
    <row r="6" spans="1:7" x14ac:dyDescent="0.25">
      <c r="A6" s="41" t="s">
        <v>24</v>
      </c>
      <c r="B6" s="69" t="s">
        <v>126</v>
      </c>
      <c r="C6" s="31">
        <v>6</v>
      </c>
      <c r="D6" s="40">
        <v>4438000</v>
      </c>
      <c r="E6" s="40">
        <v>2</v>
      </c>
      <c r="F6" s="77">
        <f>G6/$D$1</f>
        <v>100863.63636363637</v>
      </c>
      <c r="G6" s="40">
        <f t="shared" si="0"/>
        <v>8876000</v>
      </c>
    </row>
    <row r="7" spans="1:7" x14ac:dyDescent="0.25">
      <c r="A7" s="41" t="s">
        <v>25</v>
      </c>
      <c r="B7" s="18"/>
      <c r="C7" s="31"/>
      <c r="D7" s="40">
        <v>0</v>
      </c>
      <c r="E7" s="40"/>
      <c r="F7" s="77">
        <f t="shared" ref="F7:F10" si="1">G7/$D$1</f>
        <v>0</v>
      </c>
      <c r="G7" s="40">
        <f t="shared" si="0"/>
        <v>0</v>
      </c>
    </row>
    <row r="8" spans="1:7" x14ac:dyDescent="0.25">
      <c r="A8" s="41" t="s">
        <v>26</v>
      </c>
      <c r="B8" s="69"/>
      <c r="C8" s="31"/>
      <c r="D8" s="40">
        <v>0</v>
      </c>
      <c r="E8" s="40"/>
      <c r="F8" s="77">
        <f t="shared" si="1"/>
        <v>0</v>
      </c>
      <c r="G8" s="40">
        <f t="shared" si="0"/>
        <v>0</v>
      </c>
    </row>
    <row r="9" spans="1:7" x14ac:dyDescent="0.25">
      <c r="A9" s="41" t="s">
        <v>27</v>
      </c>
      <c r="B9" s="18"/>
      <c r="C9" s="31"/>
      <c r="D9" s="40">
        <v>0</v>
      </c>
      <c r="E9" s="40"/>
      <c r="F9" s="77">
        <f t="shared" si="1"/>
        <v>0</v>
      </c>
      <c r="G9" s="40">
        <f t="shared" si="0"/>
        <v>0</v>
      </c>
    </row>
    <row r="10" spans="1:7" x14ac:dyDescent="0.25">
      <c r="A10" s="37"/>
      <c r="B10" s="42" t="s">
        <v>127</v>
      </c>
      <c r="C10" s="44">
        <f>SUM(C5:C9)</f>
        <v>8</v>
      </c>
      <c r="D10" s="40"/>
      <c r="E10" s="40"/>
      <c r="F10" s="78">
        <f t="shared" si="1"/>
        <v>389500</v>
      </c>
      <c r="G10" s="43">
        <f>SUM(G4:G9)</f>
        <v>34276000</v>
      </c>
    </row>
    <row r="11" spans="1:7" x14ac:dyDescent="0.25">
      <c r="A11" s="38" t="s">
        <v>131</v>
      </c>
      <c r="B11" s="36" t="s">
        <v>128</v>
      </c>
      <c r="C11" s="33"/>
      <c r="D11" s="39"/>
      <c r="E11" s="39"/>
      <c r="F11" s="77"/>
      <c r="G11" s="39"/>
    </row>
    <row r="12" spans="1:7" x14ac:dyDescent="0.25">
      <c r="A12" s="41" t="s">
        <v>75</v>
      </c>
      <c r="B12" s="18" t="s">
        <v>243</v>
      </c>
      <c r="C12" s="31"/>
      <c r="D12" s="40">
        <v>630000</v>
      </c>
      <c r="E12" s="40">
        <v>1</v>
      </c>
      <c r="F12" s="77">
        <f>G12/$D$1</f>
        <v>7159.090909090909</v>
      </c>
      <c r="G12" s="40">
        <f>D12*E12</f>
        <v>630000</v>
      </c>
    </row>
    <row r="13" spans="1:7" x14ac:dyDescent="0.25">
      <c r="A13" s="41" t="s">
        <v>76</v>
      </c>
      <c r="B13" s="18" t="s">
        <v>254</v>
      </c>
      <c r="C13" s="31">
        <v>0</v>
      </c>
      <c r="D13" s="40">
        <v>0</v>
      </c>
      <c r="E13" s="40">
        <v>1</v>
      </c>
      <c r="F13" s="77">
        <f t="shared" ref="F13:F72" si="2">G13/$D$1</f>
        <v>0</v>
      </c>
      <c r="G13" s="40">
        <f t="shared" ref="G13:G18" si="3">D13*E13</f>
        <v>0</v>
      </c>
    </row>
    <row r="14" spans="1:7" x14ac:dyDescent="0.25">
      <c r="A14" s="41" t="s">
        <v>77</v>
      </c>
      <c r="B14" s="18" t="s">
        <v>285</v>
      </c>
      <c r="C14" s="31"/>
      <c r="D14" s="40">
        <v>950000</v>
      </c>
      <c r="E14" s="40">
        <v>3</v>
      </c>
      <c r="F14" s="77">
        <f t="shared" si="2"/>
        <v>32386.363636363636</v>
      </c>
      <c r="G14" s="40">
        <f t="shared" si="3"/>
        <v>2850000</v>
      </c>
    </row>
    <row r="15" spans="1:7" x14ac:dyDescent="0.25">
      <c r="A15" s="41" t="s">
        <v>78</v>
      </c>
      <c r="B15" s="18" t="s">
        <v>129</v>
      </c>
      <c r="C15" s="31">
        <v>8</v>
      </c>
      <c r="D15" s="40">
        <v>2744000</v>
      </c>
      <c r="E15" s="40">
        <v>1</v>
      </c>
      <c r="F15" s="77">
        <f t="shared" si="2"/>
        <v>31181.81818181818</v>
      </c>
      <c r="G15" s="40">
        <f t="shared" si="3"/>
        <v>2744000</v>
      </c>
    </row>
    <row r="16" spans="1:7" x14ac:dyDescent="0.25">
      <c r="A16" s="41" t="s">
        <v>79</v>
      </c>
      <c r="B16" s="18" t="s">
        <v>130</v>
      </c>
      <c r="C16" s="31">
        <v>10</v>
      </c>
      <c r="D16" s="40">
        <v>3381000</v>
      </c>
      <c r="E16" s="40">
        <v>1</v>
      </c>
      <c r="F16" s="77">
        <f t="shared" si="2"/>
        <v>38420.454545454544</v>
      </c>
      <c r="G16" s="40">
        <f t="shared" si="3"/>
        <v>3381000</v>
      </c>
    </row>
    <row r="17" spans="1:7" x14ac:dyDescent="0.25">
      <c r="A17" s="41" t="s">
        <v>80</v>
      </c>
      <c r="B17" s="18" t="s">
        <v>242</v>
      </c>
      <c r="C17" s="31">
        <v>5</v>
      </c>
      <c r="D17" s="40">
        <v>3849999.9999999995</v>
      </c>
      <c r="E17" s="40">
        <v>1</v>
      </c>
      <c r="F17" s="77">
        <f t="shared" si="2"/>
        <v>43749.999999999993</v>
      </c>
      <c r="G17" s="40">
        <f t="shared" si="3"/>
        <v>3849999.9999999995</v>
      </c>
    </row>
    <row r="18" spans="1:7" x14ac:dyDescent="0.25">
      <c r="A18" s="41" t="s">
        <v>81</v>
      </c>
      <c r="B18" s="18" t="s">
        <v>286</v>
      </c>
      <c r="C18" s="31"/>
      <c r="D18" s="40">
        <v>750000</v>
      </c>
      <c r="E18" s="40">
        <v>4</v>
      </c>
      <c r="F18" s="77">
        <f t="shared" si="2"/>
        <v>34090.909090909088</v>
      </c>
      <c r="G18" s="40">
        <f t="shared" si="3"/>
        <v>3000000</v>
      </c>
    </row>
    <row r="19" spans="1:7" x14ac:dyDescent="0.25">
      <c r="A19" s="37"/>
      <c r="B19" s="42" t="s">
        <v>127</v>
      </c>
      <c r="C19" s="44">
        <f>SUM(C12:C18)</f>
        <v>23</v>
      </c>
      <c r="D19" s="40"/>
      <c r="E19" s="40"/>
      <c r="F19" s="78">
        <f t="shared" si="2"/>
        <v>186988.63636363635</v>
      </c>
      <c r="G19" s="43">
        <f>SUM(G12:G18)</f>
        <v>16455000</v>
      </c>
    </row>
    <row r="20" spans="1:7" x14ac:dyDescent="0.25">
      <c r="A20" s="38">
        <v>3</v>
      </c>
      <c r="B20" s="36" t="s">
        <v>132</v>
      </c>
      <c r="C20" s="33"/>
      <c r="D20" s="39"/>
      <c r="E20" s="39"/>
      <c r="F20" s="77"/>
      <c r="G20" s="39"/>
    </row>
    <row r="21" spans="1:7" x14ac:dyDescent="0.25">
      <c r="A21" s="41" t="s">
        <v>137</v>
      </c>
      <c r="B21" s="18" t="s">
        <v>287</v>
      </c>
      <c r="C21" s="31">
        <v>60</v>
      </c>
      <c r="D21" s="40">
        <v>98000000</v>
      </c>
      <c r="E21" s="40">
        <v>1</v>
      </c>
      <c r="F21" s="77">
        <f t="shared" si="2"/>
        <v>1113636.3636363635</v>
      </c>
      <c r="G21" s="40">
        <f>D21*E21</f>
        <v>98000000</v>
      </c>
    </row>
    <row r="22" spans="1:7" x14ac:dyDescent="0.25">
      <c r="A22" s="41" t="s">
        <v>138</v>
      </c>
      <c r="B22" s="18" t="s">
        <v>133</v>
      </c>
      <c r="C22" s="31">
        <v>15</v>
      </c>
      <c r="D22" s="40">
        <v>3700000</v>
      </c>
      <c r="E22" s="40">
        <v>1</v>
      </c>
      <c r="F22" s="77">
        <f t="shared" si="2"/>
        <v>42045.454545454544</v>
      </c>
      <c r="G22" s="40">
        <f t="shared" ref="G22:G26" si="4">D22*E22</f>
        <v>3700000</v>
      </c>
    </row>
    <row r="23" spans="1:7" x14ac:dyDescent="0.25">
      <c r="A23" s="41" t="s">
        <v>141</v>
      </c>
      <c r="B23" s="18" t="s">
        <v>134</v>
      </c>
      <c r="C23" s="31">
        <v>5</v>
      </c>
      <c r="D23" s="40">
        <v>4157999.9999999995</v>
      </c>
      <c r="E23" s="40">
        <v>1</v>
      </c>
      <c r="F23" s="77">
        <f t="shared" si="2"/>
        <v>47249.999999999993</v>
      </c>
      <c r="G23" s="40">
        <f t="shared" si="4"/>
        <v>4157999.9999999995</v>
      </c>
    </row>
    <row r="24" spans="1:7" x14ac:dyDescent="0.25">
      <c r="A24" s="41" t="s">
        <v>142</v>
      </c>
      <c r="B24" s="18" t="s">
        <v>135</v>
      </c>
      <c r="C24" s="31">
        <v>7</v>
      </c>
      <c r="D24" s="40">
        <v>6440000</v>
      </c>
      <c r="E24" s="40">
        <v>1</v>
      </c>
      <c r="F24" s="77">
        <f t="shared" si="2"/>
        <v>73181.818181818177</v>
      </c>
      <c r="G24" s="40">
        <f t="shared" si="4"/>
        <v>6440000</v>
      </c>
    </row>
    <row r="25" spans="1:7" x14ac:dyDescent="0.25">
      <c r="A25" s="41" t="s">
        <v>143</v>
      </c>
      <c r="B25" s="18" t="s">
        <v>136</v>
      </c>
      <c r="C25" s="31">
        <v>10</v>
      </c>
      <c r="D25" s="40">
        <v>4340000</v>
      </c>
      <c r="E25" s="40">
        <v>0</v>
      </c>
      <c r="F25" s="77">
        <f t="shared" si="2"/>
        <v>0</v>
      </c>
      <c r="G25" s="40">
        <f t="shared" si="4"/>
        <v>0</v>
      </c>
    </row>
    <row r="26" spans="1:7" x14ac:dyDescent="0.25">
      <c r="A26" s="41" t="s">
        <v>144</v>
      </c>
      <c r="B26" s="18" t="s">
        <v>239</v>
      </c>
      <c r="C26" s="31">
        <v>10</v>
      </c>
      <c r="D26" s="40">
        <v>5180000</v>
      </c>
      <c r="E26" s="40">
        <v>1</v>
      </c>
      <c r="F26" s="77">
        <f t="shared" si="2"/>
        <v>58863.63636363636</v>
      </c>
      <c r="G26" s="40">
        <f t="shared" si="4"/>
        <v>5180000</v>
      </c>
    </row>
    <row r="27" spans="1:7" x14ac:dyDescent="0.25">
      <c r="A27" s="37"/>
      <c r="B27" s="42" t="s">
        <v>127</v>
      </c>
      <c r="C27" s="44">
        <f>SUM(C21:C26)</f>
        <v>107</v>
      </c>
      <c r="D27" s="40"/>
      <c r="E27" s="40"/>
      <c r="F27" s="78">
        <f t="shared" si="2"/>
        <v>1334977.2727272727</v>
      </c>
      <c r="G27" s="43">
        <f>SUM(G21:G26)</f>
        <v>117478000</v>
      </c>
    </row>
    <row r="28" spans="1:7" x14ac:dyDescent="0.25">
      <c r="A28" s="38">
        <v>4</v>
      </c>
      <c r="B28" s="36" t="s">
        <v>145</v>
      </c>
      <c r="C28" s="33"/>
      <c r="D28" s="39"/>
      <c r="E28" s="39"/>
      <c r="F28" s="77"/>
      <c r="G28" s="39"/>
    </row>
    <row r="29" spans="1:7" x14ac:dyDescent="0.25">
      <c r="A29" s="41" t="s">
        <v>146</v>
      </c>
      <c r="B29" s="18" t="s">
        <v>305</v>
      </c>
      <c r="C29" s="31"/>
      <c r="D29" s="40">
        <v>17500000</v>
      </c>
      <c r="E29" s="40">
        <v>2</v>
      </c>
      <c r="F29" s="77">
        <f t="shared" si="2"/>
        <v>397727.27272727271</v>
      </c>
      <c r="G29" s="40">
        <f>E29*D29</f>
        <v>35000000</v>
      </c>
    </row>
    <row r="30" spans="1:7" x14ac:dyDescent="0.25">
      <c r="A30" s="41" t="s">
        <v>275</v>
      </c>
      <c r="B30" s="18" t="s">
        <v>283</v>
      </c>
      <c r="C30" s="31"/>
      <c r="D30" s="40">
        <v>35000000</v>
      </c>
      <c r="E30" s="40">
        <v>2</v>
      </c>
      <c r="F30" s="77">
        <f t="shared" si="2"/>
        <v>795454.54545454541</v>
      </c>
      <c r="G30" s="40">
        <f>E30*D30</f>
        <v>70000000</v>
      </c>
    </row>
    <row r="31" spans="1:7" x14ac:dyDescent="0.25">
      <c r="A31" s="37"/>
      <c r="B31" s="42" t="s">
        <v>127</v>
      </c>
      <c r="C31" s="44"/>
      <c r="D31" s="40">
        <v>0</v>
      </c>
      <c r="E31" s="40"/>
      <c r="F31" s="78">
        <f t="shared" si="2"/>
        <v>1193181.8181818181</v>
      </c>
      <c r="G31" s="43">
        <f>SUM(G29:G30)</f>
        <v>105000000</v>
      </c>
    </row>
    <row r="32" spans="1:7" x14ac:dyDescent="0.25">
      <c r="A32" s="38">
        <v>5</v>
      </c>
      <c r="B32" s="36" t="s">
        <v>148</v>
      </c>
      <c r="C32" s="33"/>
      <c r="D32" s="39"/>
      <c r="E32" s="39"/>
      <c r="F32" s="77"/>
      <c r="G32" s="39"/>
    </row>
    <row r="33" spans="1:7" x14ac:dyDescent="0.25">
      <c r="A33" s="41" t="s">
        <v>140</v>
      </c>
      <c r="B33" s="18" t="s">
        <v>149</v>
      </c>
      <c r="C33" s="31">
        <v>60</v>
      </c>
      <c r="D33" s="40">
        <v>15300000</v>
      </c>
      <c r="E33" s="40">
        <v>1</v>
      </c>
      <c r="F33" s="77">
        <f t="shared" si="2"/>
        <v>173863.63636363635</v>
      </c>
      <c r="G33" s="40">
        <f>E33*D33</f>
        <v>15300000</v>
      </c>
    </row>
    <row r="34" spans="1:7" x14ac:dyDescent="0.25">
      <c r="A34" s="41" t="s">
        <v>155</v>
      </c>
      <c r="B34" s="18" t="s">
        <v>150</v>
      </c>
      <c r="C34" s="31">
        <v>5</v>
      </c>
      <c r="D34" s="40">
        <v>3066000</v>
      </c>
      <c r="E34" s="40">
        <v>1</v>
      </c>
      <c r="F34" s="77">
        <f t="shared" si="2"/>
        <v>34840.909090909088</v>
      </c>
      <c r="G34" s="40">
        <f t="shared" ref="G34:G42" si="5">E34*D34</f>
        <v>3066000</v>
      </c>
    </row>
    <row r="35" spans="1:7" x14ac:dyDescent="0.25">
      <c r="A35" s="41" t="s">
        <v>156</v>
      </c>
      <c r="B35" s="18" t="s">
        <v>151</v>
      </c>
      <c r="C35" s="31">
        <v>5</v>
      </c>
      <c r="D35" s="40">
        <v>2814000</v>
      </c>
      <c r="E35" s="40">
        <v>1</v>
      </c>
      <c r="F35" s="77">
        <f t="shared" si="2"/>
        <v>31977.272727272728</v>
      </c>
      <c r="G35" s="40">
        <f t="shared" si="5"/>
        <v>2814000</v>
      </c>
    </row>
    <row r="36" spans="1:7" x14ac:dyDescent="0.25">
      <c r="A36" s="41" t="s">
        <v>157</v>
      </c>
      <c r="B36" s="18" t="s">
        <v>152</v>
      </c>
      <c r="C36" s="31">
        <v>45</v>
      </c>
      <c r="D36" s="40">
        <v>13500000</v>
      </c>
      <c r="E36" s="40">
        <v>1</v>
      </c>
      <c r="F36" s="77">
        <f t="shared" si="2"/>
        <v>153409.09090909091</v>
      </c>
      <c r="G36" s="40">
        <f t="shared" si="5"/>
        <v>13500000</v>
      </c>
    </row>
    <row r="37" spans="1:7" x14ac:dyDescent="0.25">
      <c r="A37" s="41" t="s">
        <v>158</v>
      </c>
      <c r="B37" s="18" t="s">
        <v>297</v>
      </c>
      <c r="C37" s="31"/>
      <c r="D37" s="40">
        <v>6000000</v>
      </c>
      <c r="E37" s="40">
        <v>1</v>
      </c>
      <c r="F37" s="77">
        <f t="shared" si="2"/>
        <v>68181.818181818177</v>
      </c>
      <c r="G37" s="40">
        <f t="shared" si="5"/>
        <v>6000000</v>
      </c>
    </row>
    <row r="38" spans="1:7" x14ac:dyDescent="0.25">
      <c r="A38" s="41" t="s">
        <v>159</v>
      </c>
      <c r="B38" s="68" t="s">
        <v>153</v>
      </c>
      <c r="C38" s="70"/>
      <c r="D38" s="71">
        <v>-97972000</v>
      </c>
      <c r="E38" s="71">
        <v>0</v>
      </c>
      <c r="F38" s="77">
        <f t="shared" si="2"/>
        <v>0</v>
      </c>
      <c r="G38" s="40">
        <f t="shared" si="5"/>
        <v>0</v>
      </c>
    </row>
    <row r="39" spans="1:7" x14ac:dyDescent="0.25">
      <c r="A39" s="41" t="s">
        <v>160</v>
      </c>
      <c r="B39" s="68" t="s">
        <v>154</v>
      </c>
      <c r="C39" s="31"/>
      <c r="D39" s="71">
        <v>-5845000</v>
      </c>
      <c r="E39" s="71">
        <v>0</v>
      </c>
      <c r="F39" s="77">
        <f t="shared" si="2"/>
        <v>0</v>
      </c>
      <c r="G39" s="40">
        <f t="shared" si="5"/>
        <v>0</v>
      </c>
    </row>
    <row r="40" spans="1:7" x14ac:dyDescent="0.25">
      <c r="A40" s="41" t="s">
        <v>100</v>
      </c>
      <c r="B40" s="18" t="s">
        <v>240</v>
      </c>
      <c r="C40" s="31">
        <v>140</v>
      </c>
      <c r="D40" s="40">
        <v>9100000</v>
      </c>
      <c r="E40" s="40">
        <v>1</v>
      </c>
      <c r="F40" s="77">
        <f t="shared" si="2"/>
        <v>103409.09090909091</v>
      </c>
      <c r="G40" s="40">
        <f t="shared" si="5"/>
        <v>9100000</v>
      </c>
    </row>
    <row r="41" spans="1:7" x14ac:dyDescent="0.25">
      <c r="A41" s="41" t="s">
        <v>161</v>
      </c>
      <c r="B41" s="18" t="s">
        <v>296</v>
      </c>
      <c r="C41" s="31">
        <v>5</v>
      </c>
      <c r="D41" s="40">
        <v>3700000</v>
      </c>
      <c r="E41" s="40">
        <v>1</v>
      </c>
      <c r="F41" s="77">
        <f t="shared" si="2"/>
        <v>42045.454545454544</v>
      </c>
      <c r="G41" s="40">
        <f t="shared" si="5"/>
        <v>3700000</v>
      </c>
    </row>
    <row r="42" spans="1:7" x14ac:dyDescent="0.25">
      <c r="A42" s="41" t="s">
        <v>162</v>
      </c>
      <c r="B42" s="18" t="s">
        <v>241</v>
      </c>
      <c r="C42" s="31"/>
      <c r="D42" s="40">
        <v>8287999.9999999991</v>
      </c>
      <c r="E42" s="40">
        <v>1</v>
      </c>
      <c r="F42" s="77">
        <f t="shared" si="2"/>
        <v>94181.818181818177</v>
      </c>
      <c r="G42" s="40">
        <f t="shared" si="5"/>
        <v>8287999.9999999991</v>
      </c>
    </row>
    <row r="43" spans="1:7" x14ac:dyDescent="0.25">
      <c r="A43" s="37"/>
      <c r="B43" s="42" t="s">
        <v>127</v>
      </c>
      <c r="C43" s="44">
        <f>SUM(C33:C42)</f>
        <v>260</v>
      </c>
      <c r="D43" s="40"/>
      <c r="E43" s="40"/>
      <c r="F43" s="78">
        <f t="shared" si="2"/>
        <v>701909.09090909094</v>
      </c>
      <c r="G43" s="43">
        <f>SUM(G33:G42)</f>
        <v>61768000</v>
      </c>
    </row>
    <row r="44" spans="1:7" x14ac:dyDescent="0.25">
      <c r="A44" s="38">
        <v>6</v>
      </c>
      <c r="B44" s="36" t="s">
        <v>163</v>
      </c>
      <c r="C44" s="33"/>
      <c r="D44" s="39"/>
      <c r="E44" s="39"/>
      <c r="F44" s="77"/>
      <c r="G44" s="39"/>
    </row>
    <row r="45" spans="1:7" x14ac:dyDescent="0.25">
      <c r="A45" s="41" t="s">
        <v>170</v>
      </c>
      <c r="B45" s="18" t="s">
        <v>164</v>
      </c>
      <c r="C45" s="31">
        <v>15</v>
      </c>
      <c r="D45" s="40">
        <v>4340000</v>
      </c>
      <c r="E45" s="40">
        <v>1</v>
      </c>
      <c r="F45" s="77">
        <f t="shared" si="2"/>
        <v>49318.181818181816</v>
      </c>
      <c r="G45" s="40">
        <f>D45*E45</f>
        <v>4340000</v>
      </c>
    </row>
    <row r="46" spans="1:7" x14ac:dyDescent="0.25">
      <c r="A46" s="41" t="s">
        <v>172</v>
      </c>
      <c r="B46" s="18" t="s">
        <v>165</v>
      </c>
      <c r="C46" s="31">
        <v>20</v>
      </c>
      <c r="D46" s="40">
        <v>2590000</v>
      </c>
      <c r="E46" s="40">
        <v>1</v>
      </c>
      <c r="F46" s="77">
        <f t="shared" si="2"/>
        <v>29431.81818181818</v>
      </c>
      <c r="G46" s="40">
        <f t="shared" ref="G46:G51" si="6">D46*E46</f>
        <v>2590000</v>
      </c>
    </row>
    <row r="47" spans="1:7" x14ac:dyDescent="0.25">
      <c r="A47" s="41" t="s">
        <v>171</v>
      </c>
      <c r="B47" s="18" t="s">
        <v>166</v>
      </c>
      <c r="C47" s="31">
        <v>5</v>
      </c>
      <c r="D47" s="40">
        <v>889000</v>
      </c>
      <c r="E47" s="40">
        <v>1</v>
      </c>
      <c r="F47" s="77">
        <f t="shared" si="2"/>
        <v>10102.272727272728</v>
      </c>
      <c r="G47" s="40">
        <f t="shared" si="6"/>
        <v>889000</v>
      </c>
    </row>
    <row r="48" spans="1:7" x14ac:dyDescent="0.25">
      <c r="A48" s="41" t="s">
        <v>173</v>
      </c>
      <c r="B48" s="18" t="s">
        <v>295</v>
      </c>
      <c r="C48" s="31">
        <v>8</v>
      </c>
      <c r="D48" s="40">
        <v>3900000</v>
      </c>
      <c r="E48" s="40">
        <v>1</v>
      </c>
      <c r="F48" s="77">
        <f t="shared" si="2"/>
        <v>44318.181818181816</v>
      </c>
      <c r="G48" s="40">
        <f t="shared" si="6"/>
        <v>3900000</v>
      </c>
    </row>
    <row r="49" spans="1:7" x14ac:dyDescent="0.25">
      <c r="A49" s="41" t="s">
        <v>174</v>
      </c>
      <c r="B49" s="18" t="s">
        <v>167</v>
      </c>
      <c r="C49" s="31">
        <v>15</v>
      </c>
      <c r="D49" s="40">
        <v>2324000</v>
      </c>
      <c r="E49" s="40">
        <v>1</v>
      </c>
      <c r="F49" s="77">
        <f t="shared" si="2"/>
        <v>26409.090909090908</v>
      </c>
      <c r="G49" s="40">
        <f t="shared" si="6"/>
        <v>2324000</v>
      </c>
    </row>
    <row r="50" spans="1:7" x14ac:dyDescent="0.25">
      <c r="A50" s="41" t="s">
        <v>175</v>
      </c>
      <c r="B50" s="18" t="s">
        <v>168</v>
      </c>
      <c r="C50" s="31">
        <v>5</v>
      </c>
      <c r="D50" s="40">
        <v>1260000</v>
      </c>
      <c r="E50" s="40">
        <v>1</v>
      </c>
      <c r="F50" s="77">
        <f t="shared" si="2"/>
        <v>14318.181818181818</v>
      </c>
      <c r="G50" s="40">
        <f t="shared" si="6"/>
        <v>1260000</v>
      </c>
    </row>
    <row r="51" spans="1:7" x14ac:dyDescent="0.25">
      <c r="A51" s="41" t="s">
        <v>176</v>
      </c>
      <c r="B51" s="18" t="s">
        <v>169</v>
      </c>
      <c r="C51" s="31">
        <v>0</v>
      </c>
      <c r="D51" s="40">
        <v>1260000</v>
      </c>
      <c r="E51" s="40">
        <v>0</v>
      </c>
      <c r="F51" s="77">
        <f t="shared" si="2"/>
        <v>0</v>
      </c>
      <c r="G51" s="40">
        <f t="shared" si="6"/>
        <v>0</v>
      </c>
    </row>
    <row r="52" spans="1:7" x14ac:dyDescent="0.25">
      <c r="A52" s="37"/>
      <c r="B52" s="42" t="s">
        <v>127</v>
      </c>
      <c r="C52" s="44">
        <f>SUM(C45:C51)</f>
        <v>68</v>
      </c>
      <c r="D52" s="40"/>
      <c r="E52" s="40"/>
      <c r="F52" s="78">
        <f t="shared" si="2"/>
        <v>173897.72727272726</v>
      </c>
      <c r="G52" s="43">
        <f>SUM(G45:G51)</f>
        <v>15303000</v>
      </c>
    </row>
    <row r="53" spans="1:7" x14ac:dyDescent="0.25">
      <c r="A53" s="38">
        <v>7</v>
      </c>
      <c r="B53" s="36" t="s">
        <v>177</v>
      </c>
      <c r="C53" s="33"/>
      <c r="D53" s="39"/>
      <c r="E53" s="39"/>
      <c r="F53" s="77"/>
      <c r="G53" s="39"/>
    </row>
    <row r="54" spans="1:7" x14ac:dyDescent="0.25">
      <c r="A54" s="41" t="s">
        <v>139</v>
      </c>
      <c r="B54" s="18" t="s">
        <v>178</v>
      </c>
      <c r="C54" s="31">
        <v>15</v>
      </c>
      <c r="D54" s="40">
        <v>4100000</v>
      </c>
      <c r="E54" s="40">
        <v>1</v>
      </c>
      <c r="F54" s="77">
        <f t="shared" si="2"/>
        <v>46590.909090909088</v>
      </c>
      <c r="G54" s="40">
        <f>D54*E54</f>
        <v>4100000</v>
      </c>
    </row>
    <row r="55" spans="1:7" x14ac:dyDescent="0.25">
      <c r="A55" s="41" t="s">
        <v>180</v>
      </c>
      <c r="B55" s="18" t="s">
        <v>288</v>
      </c>
      <c r="C55" s="31"/>
      <c r="D55" s="40">
        <v>500000</v>
      </c>
      <c r="E55" s="40">
        <v>1</v>
      </c>
      <c r="F55" s="77">
        <f t="shared" si="2"/>
        <v>5681.818181818182</v>
      </c>
      <c r="G55" s="40">
        <f t="shared" ref="G55:G56" si="7">D55*E55</f>
        <v>500000</v>
      </c>
    </row>
    <row r="56" spans="1:7" x14ac:dyDescent="0.25">
      <c r="A56" s="41" t="s">
        <v>181</v>
      </c>
      <c r="B56" s="18" t="s">
        <v>179</v>
      </c>
      <c r="C56" s="31">
        <v>10</v>
      </c>
      <c r="D56" s="40">
        <v>4100000</v>
      </c>
      <c r="E56" s="40">
        <v>1</v>
      </c>
      <c r="F56" s="77">
        <f t="shared" si="2"/>
        <v>46590.909090909088</v>
      </c>
      <c r="G56" s="40">
        <f t="shared" si="7"/>
        <v>4100000</v>
      </c>
    </row>
    <row r="57" spans="1:7" x14ac:dyDescent="0.25">
      <c r="A57" s="37"/>
      <c r="B57" s="42" t="s">
        <v>127</v>
      </c>
      <c r="C57" s="44">
        <f>SUM(C54:C56)</f>
        <v>25</v>
      </c>
      <c r="D57" s="40"/>
      <c r="E57" s="40"/>
      <c r="F57" s="78">
        <f t="shared" si="2"/>
        <v>98863.636363636368</v>
      </c>
      <c r="G57" s="43">
        <f>SUM(G54:G56)</f>
        <v>8700000</v>
      </c>
    </row>
    <row r="58" spans="1:7" x14ac:dyDescent="0.25">
      <c r="A58" s="38">
        <v>8</v>
      </c>
      <c r="B58" s="36" t="s">
        <v>183</v>
      </c>
      <c r="C58" s="33"/>
      <c r="D58" s="39"/>
      <c r="E58" s="39"/>
      <c r="F58" s="77"/>
      <c r="G58" s="39"/>
    </row>
    <row r="59" spans="1:7" x14ac:dyDescent="0.25">
      <c r="A59" s="41" t="s">
        <v>185</v>
      </c>
      <c r="B59" s="18" t="s">
        <v>184</v>
      </c>
      <c r="C59" s="31">
        <v>2</v>
      </c>
      <c r="D59" s="40">
        <v>4000000</v>
      </c>
      <c r="E59" s="40">
        <v>1</v>
      </c>
      <c r="F59" s="77">
        <f t="shared" si="2"/>
        <v>45454.545454545456</v>
      </c>
      <c r="G59" s="40">
        <f>D59</f>
        <v>4000000</v>
      </c>
    </row>
    <row r="60" spans="1:7" x14ac:dyDescent="0.25">
      <c r="A60" s="37"/>
      <c r="B60" s="42" t="s">
        <v>127</v>
      </c>
      <c r="C60" s="44">
        <f>SUM(C59)</f>
        <v>2</v>
      </c>
      <c r="D60" s="40">
        <v>0</v>
      </c>
      <c r="E60" s="40"/>
      <c r="F60" s="78">
        <f t="shared" si="2"/>
        <v>45454.545454545456</v>
      </c>
      <c r="G60" s="43">
        <f>SUM(G59)</f>
        <v>4000000</v>
      </c>
    </row>
    <row r="61" spans="1:7" x14ac:dyDescent="0.25">
      <c r="A61" s="38">
        <v>9</v>
      </c>
      <c r="B61" s="36" t="s">
        <v>186</v>
      </c>
      <c r="C61" s="33"/>
      <c r="D61" s="39"/>
      <c r="E61" s="39"/>
      <c r="F61" s="77"/>
      <c r="G61" s="39"/>
    </row>
    <row r="62" spans="1:7" x14ac:dyDescent="0.25">
      <c r="A62" s="41" t="s">
        <v>188</v>
      </c>
      <c r="B62" s="18" t="s">
        <v>187</v>
      </c>
      <c r="C62" s="31">
        <v>5</v>
      </c>
      <c r="D62" s="40">
        <v>10850000</v>
      </c>
      <c r="E62" s="40">
        <v>1</v>
      </c>
      <c r="F62" s="77">
        <f t="shared" si="2"/>
        <v>123295.45454545454</v>
      </c>
      <c r="G62" s="40">
        <f>D62*E62</f>
        <v>10850000</v>
      </c>
    </row>
    <row r="63" spans="1:7" x14ac:dyDescent="0.25">
      <c r="A63" s="37"/>
      <c r="B63" s="42" t="s">
        <v>127</v>
      </c>
      <c r="C63" s="44">
        <f>SUM(C62)</f>
        <v>5</v>
      </c>
      <c r="D63" s="40"/>
      <c r="E63" s="40"/>
      <c r="F63" s="78">
        <f t="shared" si="2"/>
        <v>123295.45454545454</v>
      </c>
      <c r="G63" s="43">
        <f>SUM(G62)</f>
        <v>10850000</v>
      </c>
    </row>
    <row r="64" spans="1:7" x14ac:dyDescent="0.25">
      <c r="A64" s="38">
        <v>10</v>
      </c>
      <c r="B64" s="36" t="s">
        <v>189</v>
      </c>
      <c r="C64" s="33"/>
      <c r="D64" s="39"/>
      <c r="E64" s="39"/>
      <c r="F64" s="77"/>
      <c r="G64" s="39"/>
    </row>
    <row r="65" spans="1:7" x14ac:dyDescent="0.25">
      <c r="A65" s="41" t="s">
        <v>193</v>
      </c>
      <c r="B65" s="68" t="s">
        <v>190</v>
      </c>
      <c r="C65" s="31"/>
      <c r="D65" s="71">
        <v>-16800000</v>
      </c>
      <c r="E65" s="40">
        <v>0</v>
      </c>
      <c r="F65" s="77">
        <f t="shared" si="2"/>
        <v>0</v>
      </c>
      <c r="G65" s="71">
        <f>D65*E65</f>
        <v>0</v>
      </c>
    </row>
    <row r="66" spans="1:7" x14ac:dyDescent="0.25">
      <c r="A66" s="41" t="s">
        <v>194</v>
      </c>
      <c r="B66" s="68" t="s">
        <v>191</v>
      </c>
      <c r="C66" s="31"/>
      <c r="D66" s="71">
        <v>-11200000</v>
      </c>
      <c r="E66" s="40">
        <v>0</v>
      </c>
      <c r="F66" s="77">
        <f t="shared" si="2"/>
        <v>0</v>
      </c>
      <c r="G66" s="71">
        <f t="shared" ref="G66:G67" si="8">D66*E66</f>
        <v>0</v>
      </c>
    </row>
    <row r="67" spans="1:7" x14ac:dyDescent="0.25">
      <c r="A67" s="41" t="s">
        <v>195</v>
      </c>
      <c r="B67" s="68" t="s">
        <v>192</v>
      </c>
      <c r="C67" s="31"/>
      <c r="D67" s="71">
        <v>-4900000</v>
      </c>
      <c r="E67" s="40">
        <v>0</v>
      </c>
      <c r="F67" s="77">
        <f t="shared" si="2"/>
        <v>0</v>
      </c>
      <c r="G67" s="71">
        <f t="shared" si="8"/>
        <v>0</v>
      </c>
    </row>
    <row r="68" spans="1:7" x14ac:dyDescent="0.25">
      <c r="A68" s="41"/>
      <c r="B68" s="42" t="s">
        <v>127</v>
      </c>
      <c r="C68" s="44">
        <f>SUM(C65:C67)</f>
        <v>0</v>
      </c>
      <c r="D68" s="40"/>
      <c r="E68" s="40"/>
      <c r="F68" s="78">
        <f t="shared" si="2"/>
        <v>0</v>
      </c>
      <c r="G68" s="43">
        <f>SUM(G65:G67)</f>
        <v>0</v>
      </c>
    </row>
    <row r="69" spans="1:7" x14ac:dyDescent="0.25">
      <c r="A69" s="38">
        <v>11</v>
      </c>
      <c r="B69" s="36" t="s">
        <v>196</v>
      </c>
      <c r="C69" s="33"/>
      <c r="D69" s="39"/>
      <c r="E69" s="39"/>
      <c r="F69" s="77"/>
      <c r="G69" s="39"/>
    </row>
    <row r="70" spans="1:7" x14ac:dyDescent="0.25">
      <c r="A70" s="41" t="s">
        <v>197</v>
      </c>
      <c r="B70" s="18" t="s">
        <v>255</v>
      </c>
      <c r="C70" s="31"/>
      <c r="D70" s="40">
        <v>18000000</v>
      </c>
      <c r="E70" s="40">
        <v>0</v>
      </c>
      <c r="F70" s="77">
        <f t="shared" si="2"/>
        <v>0</v>
      </c>
      <c r="G70" s="40">
        <f>D70*E70</f>
        <v>0</v>
      </c>
    </row>
    <row r="71" spans="1:7" x14ac:dyDescent="0.25">
      <c r="A71" s="41" t="s">
        <v>260</v>
      </c>
      <c r="B71" s="18" t="s">
        <v>261</v>
      </c>
      <c r="C71" s="31"/>
      <c r="D71" s="40">
        <v>7800000</v>
      </c>
      <c r="E71" s="40">
        <v>1</v>
      </c>
      <c r="F71" s="77">
        <f t="shared" si="2"/>
        <v>88636.363636363632</v>
      </c>
      <c r="G71" s="40">
        <f t="shared" ref="G71" si="9">D71*E71</f>
        <v>7800000</v>
      </c>
    </row>
    <row r="72" spans="1:7" x14ac:dyDescent="0.25">
      <c r="A72" s="41"/>
      <c r="B72" s="42" t="s">
        <v>127</v>
      </c>
      <c r="C72" s="44">
        <f>SUM(C70:C71)</f>
        <v>0</v>
      </c>
      <c r="D72" s="40"/>
      <c r="E72" s="40"/>
      <c r="F72" s="78">
        <f t="shared" si="2"/>
        <v>88636.363636363632</v>
      </c>
      <c r="G72" s="43">
        <f>SUM(G70:G71)</f>
        <v>7800000</v>
      </c>
    </row>
    <row r="73" spans="1:7" ht="18.75" x14ac:dyDescent="0.3">
      <c r="A73" s="50"/>
      <c r="B73" s="51" t="s">
        <v>198</v>
      </c>
      <c r="C73" s="52">
        <f>C10+C19+C27+C43+C52+C57+C60+C63+C68+C72</f>
        <v>498</v>
      </c>
      <c r="D73" s="53"/>
      <c r="E73" s="53"/>
      <c r="F73" s="54">
        <f>F10+F19+F27+F31+F43+F52+F57+F60+F63+F68+F72</f>
        <v>4336704.5454545449</v>
      </c>
      <c r="G73" s="54">
        <f>G10+G19+G27+G31+G43+G52+G57+G60+G63+G68+G72</f>
        <v>381630000</v>
      </c>
    </row>
  </sheetData>
  <phoneticPr fontId="1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"/>
  <sheetViews>
    <sheetView showGridLines="0" topLeftCell="A10" zoomScale="90" zoomScaleNormal="90" workbookViewId="0"/>
  </sheetViews>
  <sheetFormatPr defaultRowHeight="15" x14ac:dyDescent="0.25"/>
  <cols>
    <col min="1" max="1" width="3.42578125" customWidth="1"/>
    <col min="2" max="2" width="48.85546875" bestFit="1" customWidth="1"/>
    <col min="3" max="3" width="11.140625" customWidth="1"/>
    <col min="4" max="4" width="11.42578125" customWidth="1"/>
    <col min="6" max="6" width="11.42578125" customWidth="1"/>
  </cols>
  <sheetData>
    <row r="1" spans="1:6" x14ac:dyDescent="0.25">
      <c r="B1" t="s">
        <v>250</v>
      </c>
    </row>
    <row r="2" spans="1:6" ht="45" x14ac:dyDescent="0.25">
      <c r="A2" s="45" t="s">
        <v>0</v>
      </c>
      <c r="B2" s="46" t="s">
        <v>1</v>
      </c>
      <c r="C2" s="46" t="s">
        <v>110</v>
      </c>
      <c r="D2" s="46" t="s">
        <v>111</v>
      </c>
      <c r="E2" s="46" t="s">
        <v>274</v>
      </c>
      <c r="F2" s="46" t="s">
        <v>273</v>
      </c>
    </row>
    <row r="3" spans="1:6" x14ac:dyDescent="0.25">
      <c r="A3" s="31">
        <v>1</v>
      </c>
      <c r="B3" s="18" t="s">
        <v>112</v>
      </c>
      <c r="C3" s="31">
        <v>1</v>
      </c>
      <c r="D3" s="31">
        <v>1</v>
      </c>
      <c r="E3" s="32">
        <v>0</v>
      </c>
      <c r="F3" s="32">
        <f>E3*D3</f>
        <v>0</v>
      </c>
    </row>
    <row r="4" spans="1:6" x14ac:dyDescent="0.25">
      <c r="A4" s="31">
        <v>2</v>
      </c>
      <c r="B4" s="18" t="s">
        <v>200</v>
      </c>
      <c r="C4" s="31">
        <v>1</v>
      </c>
      <c r="D4" s="31">
        <v>1</v>
      </c>
      <c r="E4" s="32">
        <v>0</v>
      </c>
      <c r="F4" s="32">
        <f t="shared" ref="F4:F44" si="0">E4*D4</f>
        <v>0</v>
      </c>
    </row>
    <row r="5" spans="1:6" x14ac:dyDescent="0.25">
      <c r="A5" s="31">
        <v>3</v>
      </c>
      <c r="B5" s="18" t="s">
        <v>113</v>
      </c>
      <c r="C5" s="31"/>
      <c r="D5" s="31"/>
      <c r="E5" s="32"/>
      <c r="F5" s="32">
        <f t="shared" si="0"/>
        <v>0</v>
      </c>
    </row>
    <row r="6" spans="1:6" x14ac:dyDescent="0.25">
      <c r="A6" s="31">
        <v>4</v>
      </c>
      <c r="B6" s="18" t="s">
        <v>244</v>
      </c>
      <c r="C6" s="31"/>
      <c r="D6" s="31"/>
      <c r="E6" s="32"/>
      <c r="F6" s="32">
        <f t="shared" si="0"/>
        <v>0</v>
      </c>
    </row>
    <row r="7" spans="1:6" x14ac:dyDescent="0.25">
      <c r="A7" s="31">
        <v>5</v>
      </c>
      <c r="B7" s="18" t="s">
        <v>114</v>
      </c>
      <c r="C7" s="31">
        <v>1</v>
      </c>
      <c r="D7" s="31">
        <v>1</v>
      </c>
      <c r="E7" s="32">
        <v>0</v>
      </c>
      <c r="F7" s="32">
        <f t="shared" si="0"/>
        <v>0</v>
      </c>
    </row>
    <row r="8" spans="1:6" x14ac:dyDescent="0.25">
      <c r="A8" s="31">
        <v>6</v>
      </c>
      <c r="B8" s="18" t="s">
        <v>201</v>
      </c>
      <c r="C8" s="31">
        <v>1</v>
      </c>
      <c r="D8" s="31">
        <v>1</v>
      </c>
      <c r="E8" s="32">
        <v>0</v>
      </c>
      <c r="F8" s="32">
        <f t="shared" si="0"/>
        <v>0</v>
      </c>
    </row>
    <row r="9" spans="1:6" x14ac:dyDescent="0.25">
      <c r="A9" s="31">
        <v>7</v>
      </c>
      <c r="B9" s="18" t="s">
        <v>115</v>
      </c>
      <c r="C9" s="31">
        <v>1</v>
      </c>
      <c r="D9" s="31">
        <v>2</v>
      </c>
      <c r="E9" s="32">
        <v>3200</v>
      </c>
      <c r="F9" s="32">
        <f t="shared" si="0"/>
        <v>6400</v>
      </c>
    </row>
    <row r="10" spans="1:6" x14ac:dyDescent="0.25">
      <c r="A10" s="31">
        <v>8</v>
      </c>
      <c r="B10" s="18" t="s">
        <v>202</v>
      </c>
      <c r="C10" s="31">
        <v>1</v>
      </c>
      <c r="D10" s="31">
        <v>1</v>
      </c>
      <c r="E10" s="32"/>
      <c r="F10" s="32">
        <f t="shared" si="0"/>
        <v>0</v>
      </c>
    </row>
    <row r="11" spans="1:6" x14ac:dyDescent="0.25">
      <c r="A11" s="31">
        <v>9</v>
      </c>
      <c r="B11" s="18" t="s">
        <v>203</v>
      </c>
      <c r="C11" s="31">
        <v>1</v>
      </c>
      <c r="D11" s="31">
        <v>3</v>
      </c>
      <c r="E11" s="32">
        <v>0</v>
      </c>
      <c r="F11" s="32">
        <f t="shared" si="0"/>
        <v>0</v>
      </c>
    </row>
    <row r="12" spans="1:6" x14ac:dyDescent="0.25">
      <c r="A12" s="31">
        <v>10</v>
      </c>
      <c r="B12" s="18" t="s">
        <v>204</v>
      </c>
      <c r="C12" s="31"/>
      <c r="D12" s="31"/>
      <c r="E12" s="32"/>
      <c r="F12" s="32">
        <f t="shared" si="0"/>
        <v>0</v>
      </c>
    </row>
    <row r="13" spans="1:6" x14ac:dyDescent="0.25">
      <c r="A13" s="31">
        <v>11</v>
      </c>
      <c r="B13" s="18" t="s">
        <v>116</v>
      </c>
      <c r="C13" s="31">
        <v>1</v>
      </c>
      <c r="D13" s="31">
        <v>1</v>
      </c>
      <c r="E13" s="32">
        <v>0</v>
      </c>
      <c r="F13" s="32">
        <f t="shared" si="0"/>
        <v>0</v>
      </c>
    </row>
    <row r="14" spans="1:6" x14ac:dyDescent="0.25">
      <c r="A14" s="31">
        <v>12</v>
      </c>
      <c r="B14" s="18" t="s">
        <v>205</v>
      </c>
      <c r="C14" s="31">
        <v>1</v>
      </c>
      <c r="D14" s="31">
        <v>1</v>
      </c>
      <c r="E14" s="32">
        <v>0</v>
      </c>
      <c r="F14" s="32">
        <f t="shared" si="0"/>
        <v>0</v>
      </c>
    </row>
    <row r="15" spans="1:6" x14ac:dyDescent="0.25">
      <c r="A15" s="31">
        <v>13</v>
      </c>
      <c r="B15" s="18" t="s">
        <v>206</v>
      </c>
      <c r="C15" s="31"/>
      <c r="D15" s="31"/>
      <c r="E15" s="32">
        <v>0</v>
      </c>
      <c r="F15" s="32">
        <f t="shared" si="0"/>
        <v>0</v>
      </c>
    </row>
    <row r="16" spans="1:6" x14ac:dyDescent="0.25">
      <c r="A16" s="31">
        <v>14</v>
      </c>
      <c r="B16" s="18" t="s">
        <v>207</v>
      </c>
      <c r="C16" s="31">
        <v>1</v>
      </c>
      <c r="D16" s="31">
        <v>1</v>
      </c>
      <c r="E16" s="32">
        <v>0</v>
      </c>
      <c r="F16" s="32">
        <f t="shared" si="0"/>
        <v>0</v>
      </c>
    </row>
    <row r="17" spans="1:6" x14ac:dyDescent="0.25">
      <c r="A17" s="31">
        <v>15</v>
      </c>
      <c r="B17" s="18" t="s">
        <v>208</v>
      </c>
      <c r="C17" s="31">
        <v>1</v>
      </c>
      <c r="D17" s="31">
        <v>1</v>
      </c>
      <c r="E17" s="32">
        <v>0</v>
      </c>
      <c r="F17" s="32">
        <f t="shared" si="0"/>
        <v>0</v>
      </c>
    </row>
    <row r="18" spans="1:6" x14ac:dyDescent="0.25">
      <c r="A18" s="31">
        <v>16</v>
      </c>
      <c r="B18" s="18" t="s">
        <v>245</v>
      </c>
      <c r="C18" s="31"/>
      <c r="D18" s="31"/>
      <c r="E18" s="32"/>
      <c r="F18" s="32">
        <f t="shared" si="0"/>
        <v>0</v>
      </c>
    </row>
    <row r="19" spans="1:6" x14ac:dyDescent="0.25">
      <c r="A19" s="31">
        <v>17</v>
      </c>
      <c r="B19" s="18" t="s">
        <v>209</v>
      </c>
      <c r="C19" s="31">
        <v>1</v>
      </c>
      <c r="D19" s="31">
        <v>3</v>
      </c>
      <c r="E19" s="32">
        <v>2500</v>
      </c>
      <c r="F19" s="32">
        <f t="shared" si="0"/>
        <v>7500</v>
      </c>
    </row>
    <row r="20" spans="1:6" ht="14.45" customHeight="1" x14ac:dyDescent="0.25">
      <c r="A20" s="31">
        <v>18</v>
      </c>
      <c r="B20" s="18" t="s">
        <v>210</v>
      </c>
      <c r="C20" s="31">
        <v>2</v>
      </c>
      <c r="D20" s="31">
        <v>6</v>
      </c>
      <c r="E20" s="32">
        <v>2500</v>
      </c>
      <c r="F20" s="32">
        <f t="shared" si="0"/>
        <v>15000</v>
      </c>
    </row>
    <row r="21" spans="1:6" x14ac:dyDescent="0.25">
      <c r="A21" s="31">
        <v>19</v>
      </c>
      <c r="B21" s="18" t="s">
        <v>270</v>
      </c>
      <c r="C21" s="31">
        <v>2</v>
      </c>
      <c r="D21" s="31">
        <v>6</v>
      </c>
      <c r="E21" s="32">
        <v>2500</v>
      </c>
      <c r="F21" s="32">
        <f t="shared" si="0"/>
        <v>15000</v>
      </c>
    </row>
    <row r="22" spans="1:6" x14ac:dyDescent="0.25">
      <c r="A22" s="31">
        <v>20</v>
      </c>
      <c r="B22" s="18" t="s">
        <v>271</v>
      </c>
      <c r="C22" s="31">
        <v>1</v>
      </c>
      <c r="D22" s="31">
        <v>2</v>
      </c>
      <c r="E22" s="32">
        <v>2500</v>
      </c>
      <c r="F22" s="32">
        <f t="shared" si="0"/>
        <v>5000</v>
      </c>
    </row>
    <row r="23" spans="1:6" x14ac:dyDescent="0.25">
      <c r="A23" s="31">
        <v>21</v>
      </c>
      <c r="B23" s="18" t="s">
        <v>272</v>
      </c>
      <c r="C23" s="31">
        <v>1</v>
      </c>
      <c r="D23" s="31">
        <v>2</v>
      </c>
      <c r="E23" s="32">
        <v>2500</v>
      </c>
      <c r="F23" s="32">
        <f t="shared" si="0"/>
        <v>5000</v>
      </c>
    </row>
    <row r="24" spans="1:6" x14ac:dyDescent="0.25">
      <c r="A24" s="31">
        <v>22</v>
      </c>
      <c r="B24" s="18" t="s">
        <v>211</v>
      </c>
      <c r="C24" s="31"/>
      <c r="D24" s="31"/>
      <c r="E24" s="32"/>
      <c r="F24" s="32">
        <f t="shared" si="0"/>
        <v>0</v>
      </c>
    </row>
    <row r="25" spans="1:6" x14ac:dyDescent="0.25">
      <c r="A25" s="31">
        <v>23</v>
      </c>
      <c r="B25" s="18" t="s">
        <v>212</v>
      </c>
      <c r="C25" s="31"/>
      <c r="D25" s="31"/>
      <c r="E25" s="32"/>
      <c r="F25" s="32">
        <f t="shared" si="0"/>
        <v>0</v>
      </c>
    </row>
    <row r="26" spans="1:6" x14ac:dyDescent="0.25">
      <c r="A26" s="31">
        <v>24</v>
      </c>
      <c r="B26" s="18" t="s">
        <v>213</v>
      </c>
      <c r="C26" s="31"/>
      <c r="D26" s="31"/>
      <c r="E26" s="32"/>
      <c r="F26" s="32">
        <f t="shared" si="0"/>
        <v>0</v>
      </c>
    </row>
    <row r="27" spans="1:6" x14ac:dyDescent="0.25">
      <c r="A27" s="31">
        <v>25</v>
      </c>
      <c r="B27" s="18" t="s">
        <v>214</v>
      </c>
      <c r="C27" s="31"/>
      <c r="D27" s="31"/>
      <c r="E27" s="32"/>
      <c r="F27" s="32">
        <f t="shared" si="0"/>
        <v>0</v>
      </c>
    </row>
    <row r="28" spans="1:6" x14ac:dyDescent="0.25">
      <c r="A28" s="31">
        <v>26</v>
      </c>
      <c r="B28" s="18" t="s">
        <v>117</v>
      </c>
      <c r="C28" s="31">
        <v>1</v>
      </c>
      <c r="D28" s="31">
        <v>2</v>
      </c>
      <c r="E28" s="32">
        <v>2500</v>
      </c>
      <c r="F28" s="32">
        <f t="shared" si="0"/>
        <v>5000</v>
      </c>
    </row>
    <row r="29" spans="1:6" x14ac:dyDescent="0.25">
      <c r="A29" s="31">
        <v>27</v>
      </c>
      <c r="B29" s="18" t="s">
        <v>118</v>
      </c>
      <c r="C29" s="31">
        <v>1</v>
      </c>
      <c r="D29" s="31">
        <v>2</v>
      </c>
      <c r="E29" s="32">
        <v>2500</v>
      </c>
      <c r="F29" s="32">
        <f t="shared" si="0"/>
        <v>5000</v>
      </c>
    </row>
    <row r="30" spans="1:6" x14ac:dyDescent="0.25">
      <c r="A30" s="31">
        <v>28</v>
      </c>
      <c r="B30" s="18" t="s">
        <v>119</v>
      </c>
      <c r="C30" s="31">
        <v>1</v>
      </c>
      <c r="D30" s="31">
        <v>2</v>
      </c>
      <c r="E30" s="32">
        <v>2500</v>
      </c>
      <c r="F30" s="32">
        <f t="shared" si="0"/>
        <v>5000</v>
      </c>
    </row>
    <row r="31" spans="1:6" x14ac:dyDescent="0.25">
      <c r="A31" s="31">
        <v>29</v>
      </c>
      <c r="B31" s="18" t="s">
        <v>120</v>
      </c>
      <c r="C31" s="31"/>
      <c r="D31" s="31"/>
      <c r="E31" s="32"/>
      <c r="F31" s="32">
        <f t="shared" si="0"/>
        <v>0</v>
      </c>
    </row>
    <row r="32" spans="1:6" x14ac:dyDescent="0.25">
      <c r="A32" s="31">
        <v>30</v>
      </c>
      <c r="B32" s="18" t="s">
        <v>215</v>
      </c>
      <c r="C32" s="31">
        <v>1</v>
      </c>
      <c r="D32" s="31">
        <v>3</v>
      </c>
      <c r="E32" s="32">
        <v>0</v>
      </c>
      <c r="F32" s="32">
        <f t="shared" si="0"/>
        <v>0</v>
      </c>
    </row>
    <row r="33" spans="1:6" x14ac:dyDescent="0.25">
      <c r="A33" s="31">
        <v>31</v>
      </c>
      <c r="B33" s="18" t="s">
        <v>216</v>
      </c>
      <c r="C33" s="31">
        <v>1</v>
      </c>
      <c r="D33" s="31">
        <v>3</v>
      </c>
      <c r="E33" s="32">
        <v>0</v>
      </c>
      <c r="F33" s="32">
        <f t="shared" si="0"/>
        <v>0</v>
      </c>
    </row>
    <row r="34" spans="1:6" x14ac:dyDescent="0.25">
      <c r="A34" s="31">
        <v>32</v>
      </c>
      <c r="B34" s="18" t="s">
        <v>217</v>
      </c>
      <c r="C34" s="31">
        <v>1</v>
      </c>
      <c r="D34" s="31">
        <v>3</v>
      </c>
      <c r="E34" s="32">
        <v>0</v>
      </c>
      <c r="F34" s="32">
        <f t="shared" si="0"/>
        <v>0</v>
      </c>
    </row>
    <row r="35" spans="1:6" x14ac:dyDescent="0.25">
      <c r="A35" s="31">
        <v>33</v>
      </c>
      <c r="B35" s="18" t="s">
        <v>121</v>
      </c>
      <c r="C35" s="31">
        <v>2</v>
      </c>
      <c r="D35" s="31">
        <v>4</v>
      </c>
      <c r="E35" s="32">
        <v>2000</v>
      </c>
      <c r="F35" s="32">
        <f t="shared" si="0"/>
        <v>8000</v>
      </c>
    </row>
    <row r="36" spans="1:6" x14ac:dyDescent="0.25">
      <c r="A36" s="31">
        <v>34</v>
      </c>
      <c r="B36" s="18" t="s">
        <v>218</v>
      </c>
      <c r="C36" s="31"/>
      <c r="D36" s="31"/>
      <c r="E36" s="32"/>
      <c r="F36" s="32">
        <f t="shared" si="0"/>
        <v>0</v>
      </c>
    </row>
    <row r="37" spans="1:6" x14ac:dyDescent="0.25">
      <c r="A37" s="31">
        <v>35</v>
      </c>
      <c r="B37" s="18" t="s">
        <v>219</v>
      </c>
      <c r="C37" s="31"/>
      <c r="D37" s="31"/>
      <c r="E37" s="32"/>
      <c r="F37" s="32">
        <f t="shared" si="0"/>
        <v>0</v>
      </c>
    </row>
    <row r="38" spans="1:6" x14ac:dyDescent="0.25">
      <c r="A38" s="31">
        <v>36</v>
      </c>
      <c r="B38" s="18" t="s">
        <v>220</v>
      </c>
      <c r="C38" s="31"/>
      <c r="D38" s="31"/>
      <c r="E38" s="32"/>
      <c r="F38" s="32">
        <f t="shared" si="0"/>
        <v>0</v>
      </c>
    </row>
    <row r="39" spans="1:6" x14ac:dyDescent="0.25">
      <c r="A39" s="31">
        <v>37</v>
      </c>
      <c r="B39" s="18" t="s">
        <v>221</v>
      </c>
      <c r="C39" s="31"/>
      <c r="D39" s="31"/>
      <c r="E39" s="32"/>
      <c r="F39" s="32">
        <f t="shared" si="0"/>
        <v>0</v>
      </c>
    </row>
    <row r="40" spans="1:6" x14ac:dyDescent="0.25">
      <c r="A40" s="31">
        <v>38</v>
      </c>
      <c r="B40" s="18" t="s">
        <v>222</v>
      </c>
      <c r="C40" s="31"/>
      <c r="D40" s="31"/>
      <c r="E40" s="32"/>
      <c r="F40" s="32">
        <f t="shared" si="0"/>
        <v>0</v>
      </c>
    </row>
    <row r="41" spans="1:6" x14ac:dyDescent="0.25">
      <c r="A41" s="31">
        <v>39</v>
      </c>
      <c r="B41" s="18" t="s">
        <v>223</v>
      </c>
      <c r="C41" s="31"/>
      <c r="D41" s="31"/>
      <c r="E41" s="32"/>
      <c r="F41" s="32">
        <f t="shared" si="0"/>
        <v>0</v>
      </c>
    </row>
    <row r="42" spans="1:6" x14ac:dyDescent="0.25">
      <c r="A42" s="31">
        <v>40</v>
      </c>
      <c r="B42" s="18" t="s">
        <v>224</v>
      </c>
      <c r="C42" s="31"/>
      <c r="D42" s="31"/>
      <c r="E42" s="32"/>
      <c r="F42" s="32">
        <f t="shared" si="0"/>
        <v>0</v>
      </c>
    </row>
    <row r="43" spans="1:6" x14ac:dyDescent="0.25">
      <c r="A43" s="31">
        <v>41</v>
      </c>
      <c r="B43" s="18" t="s">
        <v>225</v>
      </c>
      <c r="C43" s="31"/>
      <c r="D43" s="31"/>
      <c r="E43" s="32"/>
      <c r="F43" s="32">
        <f t="shared" si="0"/>
        <v>0</v>
      </c>
    </row>
    <row r="44" spans="1:6" x14ac:dyDescent="0.25">
      <c r="A44" s="31">
        <v>42</v>
      </c>
      <c r="B44" s="18" t="s">
        <v>226</v>
      </c>
      <c r="C44" s="31"/>
      <c r="D44" s="31"/>
      <c r="E44" s="32"/>
      <c r="F44" s="32">
        <f t="shared" si="0"/>
        <v>0</v>
      </c>
    </row>
    <row r="45" spans="1:6" x14ac:dyDescent="0.25">
      <c r="A45" s="31"/>
      <c r="B45" s="18"/>
      <c r="C45" s="31"/>
      <c r="D45" s="31"/>
      <c r="E45" s="32"/>
      <c r="F45" s="32"/>
    </row>
    <row r="46" spans="1:6" x14ac:dyDescent="0.25">
      <c r="A46" s="45"/>
      <c r="B46" s="47" t="s">
        <v>122</v>
      </c>
      <c r="C46" s="45"/>
      <c r="D46" s="45">
        <f>SUM(D3:D45)</f>
        <v>52</v>
      </c>
      <c r="E46" s="48"/>
      <c r="F46" s="49">
        <f>SUM(F3:F45)</f>
        <v>76900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"/>
  <sheetViews>
    <sheetView showGridLines="0" workbookViewId="0"/>
  </sheetViews>
  <sheetFormatPr defaultRowHeight="15" x14ac:dyDescent="0.25"/>
  <cols>
    <col min="1" max="1" width="3" bestFit="1" customWidth="1"/>
    <col min="2" max="2" width="38.85546875" customWidth="1"/>
    <col min="3" max="3" width="9.140625" customWidth="1"/>
    <col min="4" max="4" width="10" customWidth="1"/>
    <col min="5" max="5" width="14.85546875" customWidth="1"/>
    <col min="6" max="6" width="10.85546875" customWidth="1"/>
    <col min="7" max="8" width="11" customWidth="1"/>
    <col min="9" max="9" width="12.42578125" bestFit="1" customWidth="1"/>
    <col min="10" max="10" width="13.42578125" bestFit="1" customWidth="1"/>
  </cols>
  <sheetData>
    <row r="1" spans="1:10" x14ac:dyDescent="0.25">
      <c r="B1" t="s">
        <v>251</v>
      </c>
    </row>
    <row r="2" spans="1:10" ht="45" x14ac:dyDescent="0.25">
      <c r="A2" s="35" t="s">
        <v>0</v>
      </c>
      <c r="B2" s="35" t="s">
        <v>1</v>
      </c>
      <c r="C2" s="35" t="s">
        <v>88</v>
      </c>
      <c r="D2" s="35" t="s">
        <v>90</v>
      </c>
      <c r="E2" s="35" t="s">
        <v>91</v>
      </c>
      <c r="F2" s="35" t="s">
        <v>99</v>
      </c>
      <c r="G2" s="35" t="s">
        <v>264</v>
      </c>
      <c r="H2" s="35" t="s">
        <v>265</v>
      </c>
      <c r="I2" s="35" t="s">
        <v>266</v>
      </c>
      <c r="J2" s="35" t="s">
        <v>267</v>
      </c>
    </row>
    <row r="3" spans="1:10" x14ac:dyDescent="0.25">
      <c r="A3" s="31">
        <v>1</v>
      </c>
      <c r="B3" s="18" t="s">
        <v>304</v>
      </c>
      <c r="C3" s="21">
        <v>100</v>
      </c>
      <c r="D3" s="19">
        <v>30</v>
      </c>
      <c r="E3" s="19">
        <f>D3*28</f>
        <v>840</v>
      </c>
      <c r="F3" s="19">
        <f>D3*340</f>
        <v>10200</v>
      </c>
      <c r="G3" s="19">
        <v>60</v>
      </c>
      <c r="H3" s="19">
        <f>G3*D3</f>
        <v>1800</v>
      </c>
      <c r="I3" s="19">
        <f>G3*E3</f>
        <v>50400</v>
      </c>
      <c r="J3" s="19">
        <f>G3*F3</f>
        <v>612000</v>
      </c>
    </row>
    <row r="4" spans="1:10" x14ac:dyDescent="0.25">
      <c r="A4" s="31">
        <v>2</v>
      </c>
      <c r="B4" s="18" t="s">
        <v>89</v>
      </c>
      <c r="C4" s="21">
        <v>47</v>
      </c>
      <c r="D4" s="19">
        <v>15</v>
      </c>
      <c r="E4" s="19">
        <f>D4*28</f>
        <v>420</v>
      </c>
      <c r="F4" s="19">
        <f>D4*340</f>
        <v>5100</v>
      </c>
      <c r="G4" s="19">
        <v>0</v>
      </c>
      <c r="H4" s="19">
        <f t="shared" ref="H4:H12" si="0">G4*D4</f>
        <v>0</v>
      </c>
      <c r="I4" s="19">
        <f t="shared" ref="I4:I12" si="1">G4*E4</f>
        <v>0</v>
      </c>
      <c r="J4" s="19">
        <f t="shared" ref="J4:J12" si="2">G4*F4</f>
        <v>0</v>
      </c>
    </row>
    <row r="5" spans="1:10" x14ac:dyDescent="0.25">
      <c r="A5" s="31">
        <v>3</v>
      </c>
      <c r="B5" s="18" t="s">
        <v>279</v>
      </c>
      <c r="C5" s="21">
        <v>25</v>
      </c>
      <c r="D5" s="19">
        <v>7</v>
      </c>
      <c r="E5" s="19">
        <f t="shared" ref="E5:E12" si="3">D5*28</f>
        <v>196</v>
      </c>
      <c r="F5" s="19">
        <f t="shared" ref="F5:F6" si="4">D5*340</f>
        <v>2380</v>
      </c>
      <c r="G5" s="19">
        <v>0</v>
      </c>
      <c r="H5" s="19">
        <f t="shared" si="0"/>
        <v>0</v>
      </c>
      <c r="I5" s="19">
        <f t="shared" si="1"/>
        <v>0</v>
      </c>
      <c r="J5" s="19">
        <f t="shared" si="2"/>
        <v>0</v>
      </c>
    </row>
    <row r="6" spans="1:10" x14ac:dyDescent="0.25">
      <c r="A6" s="31">
        <v>4</v>
      </c>
      <c r="B6" s="18" t="s">
        <v>92</v>
      </c>
      <c r="C6" s="21" t="s">
        <v>97</v>
      </c>
      <c r="D6" s="19">
        <v>1.5</v>
      </c>
      <c r="E6" s="19">
        <f t="shared" si="3"/>
        <v>42</v>
      </c>
      <c r="F6" s="19">
        <f t="shared" si="4"/>
        <v>510</v>
      </c>
      <c r="G6" s="19">
        <v>0</v>
      </c>
      <c r="H6" s="19">
        <f t="shared" si="0"/>
        <v>0</v>
      </c>
      <c r="I6" s="19">
        <f t="shared" si="1"/>
        <v>0</v>
      </c>
      <c r="J6" s="19">
        <f t="shared" si="2"/>
        <v>0</v>
      </c>
    </row>
    <row r="7" spans="1:10" x14ac:dyDescent="0.25">
      <c r="A7" s="31">
        <v>5</v>
      </c>
      <c r="B7" s="18" t="s">
        <v>93</v>
      </c>
      <c r="C7" s="21">
        <v>5</v>
      </c>
      <c r="D7" s="19">
        <v>1.5</v>
      </c>
      <c r="E7" s="19">
        <f t="shared" si="3"/>
        <v>42</v>
      </c>
      <c r="F7" s="19">
        <f t="shared" ref="F7" si="5">D7*340</f>
        <v>510</v>
      </c>
      <c r="G7" s="19">
        <v>100</v>
      </c>
      <c r="H7" s="19">
        <f t="shared" si="0"/>
        <v>150</v>
      </c>
      <c r="I7" s="19">
        <f t="shared" si="1"/>
        <v>4200</v>
      </c>
      <c r="J7" s="19">
        <f t="shared" si="2"/>
        <v>51000</v>
      </c>
    </row>
    <row r="8" spans="1:10" x14ac:dyDescent="0.25">
      <c r="A8" s="31">
        <v>6</v>
      </c>
      <c r="B8" s="18" t="s">
        <v>268</v>
      </c>
      <c r="C8" s="21"/>
      <c r="D8" s="19">
        <v>52</v>
      </c>
      <c r="E8" s="19">
        <f t="shared" si="3"/>
        <v>1456</v>
      </c>
      <c r="F8" s="19">
        <f t="shared" ref="F8:F12" si="6">D8*340</f>
        <v>17680</v>
      </c>
      <c r="G8" s="19">
        <v>200</v>
      </c>
      <c r="H8" s="19">
        <f t="shared" si="0"/>
        <v>10400</v>
      </c>
      <c r="I8" s="19">
        <f t="shared" si="1"/>
        <v>291200</v>
      </c>
      <c r="J8" s="19">
        <f t="shared" si="2"/>
        <v>3536000</v>
      </c>
    </row>
    <row r="9" spans="1:10" x14ac:dyDescent="0.25">
      <c r="A9" s="31">
        <v>7</v>
      </c>
      <c r="B9" s="18" t="s">
        <v>269</v>
      </c>
      <c r="C9" s="21"/>
      <c r="D9" s="19">
        <v>20</v>
      </c>
      <c r="E9" s="19">
        <f t="shared" si="3"/>
        <v>560</v>
      </c>
      <c r="F9" s="19">
        <f t="shared" si="6"/>
        <v>6800</v>
      </c>
      <c r="G9" s="19">
        <v>65</v>
      </c>
      <c r="H9" s="19">
        <f t="shared" si="0"/>
        <v>1300</v>
      </c>
      <c r="I9" s="19">
        <f t="shared" si="1"/>
        <v>36400</v>
      </c>
      <c r="J9" s="19">
        <f t="shared" si="2"/>
        <v>442000</v>
      </c>
    </row>
    <row r="10" spans="1:10" x14ac:dyDescent="0.25">
      <c r="A10" s="31">
        <v>8</v>
      </c>
      <c r="B10" s="18" t="s">
        <v>94</v>
      </c>
      <c r="C10" s="21" t="s">
        <v>96</v>
      </c>
      <c r="D10" s="19">
        <v>0</v>
      </c>
      <c r="E10" s="19">
        <f t="shared" si="3"/>
        <v>0</v>
      </c>
      <c r="F10" s="19">
        <f t="shared" si="6"/>
        <v>0</v>
      </c>
      <c r="G10" s="19">
        <v>200</v>
      </c>
      <c r="H10" s="19">
        <f t="shared" si="0"/>
        <v>0</v>
      </c>
      <c r="I10" s="19">
        <f t="shared" si="1"/>
        <v>0</v>
      </c>
      <c r="J10" s="19">
        <f t="shared" si="2"/>
        <v>0</v>
      </c>
    </row>
    <row r="11" spans="1:10" x14ac:dyDescent="0.25">
      <c r="A11" s="31">
        <v>9</v>
      </c>
      <c r="B11" s="18" t="s">
        <v>95</v>
      </c>
      <c r="C11" s="21" t="s">
        <v>100</v>
      </c>
      <c r="D11" s="19">
        <v>0</v>
      </c>
      <c r="E11" s="19">
        <f t="shared" si="3"/>
        <v>0</v>
      </c>
      <c r="F11" s="19">
        <f t="shared" si="6"/>
        <v>0</v>
      </c>
      <c r="G11" s="19">
        <v>100</v>
      </c>
      <c r="H11" s="19">
        <f t="shared" si="0"/>
        <v>0</v>
      </c>
      <c r="I11" s="19">
        <f t="shared" si="1"/>
        <v>0</v>
      </c>
      <c r="J11" s="19">
        <f t="shared" si="2"/>
        <v>0</v>
      </c>
    </row>
    <row r="12" spans="1:10" x14ac:dyDescent="0.25">
      <c r="A12" s="31">
        <v>10</v>
      </c>
      <c r="B12" s="18" t="s">
        <v>98</v>
      </c>
      <c r="C12" s="21"/>
      <c r="D12" s="19">
        <v>5</v>
      </c>
      <c r="E12" s="19">
        <f t="shared" si="3"/>
        <v>140</v>
      </c>
      <c r="F12" s="19">
        <f t="shared" si="6"/>
        <v>1700</v>
      </c>
      <c r="G12" s="19">
        <v>110</v>
      </c>
      <c r="H12" s="19">
        <f t="shared" si="0"/>
        <v>550</v>
      </c>
      <c r="I12" s="19">
        <f t="shared" si="1"/>
        <v>15400</v>
      </c>
      <c r="J12" s="19">
        <f t="shared" si="2"/>
        <v>187000</v>
      </c>
    </row>
    <row r="13" spans="1:10" x14ac:dyDescent="0.25">
      <c r="A13" s="31">
        <v>11</v>
      </c>
      <c r="B13" s="18" t="s">
        <v>106</v>
      </c>
      <c r="C13" s="21" t="s">
        <v>108</v>
      </c>
      <c r="D13" s="19">
        <v>7.5</v>
      </c>
      <c r="E13" s="19">
        <f t="shared" ref="E13" si="7">D13*28</f>
        <v>210</v>
      </c>
      <c r="F13" s="19">
        <f t="shared" ref="F13" si="8">D13*340</f>
        <v>2550</v>
      </c>
      <c r="G13" s="19">
        <v>160</v>
      </c>
      <c r="H13" s="19">
        <f t="shared" ref="H13" si="9">G13*D13</f>
        <v>1200</v>
      </c>
      <c r="I13" s="19">
        <f t="shared" ref="I13" si="10">G13*E13</f>
        <v>33600</v>
      </c>
      <c r="J13" s="19">
        <f t="shared" ref="J13" si="11">G13*F13</f>
        <v>408000</v>
      </c>
    </row>
    <row r="14" spans="1:10" x14ac:dyDescent="0.25">
      <c r="A14" s="31"/>
      <c r="B14" s="28" t="s">
        <v>104</v>
      </c>
      <c r="C14" s="21"/>
      <c r="D14" s="19"/>
      <c r="E14" s="19"/>
      <c r="F14" s="19"/>
      <c r="G14" s="19"/>
      <c r="H14" s="19">
        <f t="shared" ref="H14:I14" si="12">SUM(H3:H12)</f>
        <v>14200</v>
      </c>
      <c r="I14" s="19">
        <f t="shared" si="12"/>
        <v>397600</v>
      </c>
      <c r="J14" s="19">
        <f>SUM(J3:J12)</f>
        <v>4828000</v>
      </c>
    </row>
    <row r="15" spans="1:10" x14ac:dyDescent="0.25">
      <c r="C15" s="20"/>
      <c r="D15" s="20"/>
      <c r="E15" s="20"/>
      <c r="F15" s="20"/>
      <c r="G15" s="20"/>
      <c r="H15" s="20"/>
      <c r="I15" s="20"/>
      <c r="J15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CAPEX</vt:lpstr>
      <vt:lpstr>OPEX</vt:lpstr>
      <vt:lpstr>Оборудование</vt:lpstr>
      <vt:lpstr>Штатное расписание</vt:lpstr>
      <vt:lpstr>Продукция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502</dc:creator>
  <cp:lastModifiedBy>Alan Sakson</cp:lastModifiedBy>
  <dcterms:created xsi:type="dcterms:W3CDTF">2017-12-04T10:15:01Z</dcterms:created>
  <dcterms:modified xsi:type="dcterms:W3CDTF">2024-01-31T02:17:27Z</dcterms:modified>
</cp:coreProperties>
</file>