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lans\Desktop\AGAIN UPDATES\ФЭМ предполагаемых проектов с предварительными показателями для ознакомления\ФЭМ предполагаемых проектов с предварительными показателями для ознакомления\"/>
    </mc:Choice>
  </mc:AlternateContent>
  <xr:revisionPtr revIDLastSave="0" documentId="13_ncr:1_{C49DA7BE-A771-4C50-9A4A-F204BD80C2CF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CAPEX" sheetId="5" r:id="rId1"/>
    <sheet name="OPEX" sheetId="1" r:id="rId2"/>
    <sheet name="Оборудование" sheetId="2" r:id="rId3"/>
    <sheet name="Штатное расписание" sheetId="3" r:id="rId4"/>
    <sheet name="Продукция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1" l="1"/>
  <c r="G32" i="1"/>
  <c r="E32" i="1"/>
  <c r="D32" i="1"/>
  <c r="H31" i="1"/>
  <c r="G31" i="1"/>
  <c r="E31" i="1"/>
  <c r="D31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G33" i="1"/>
  <c r="E33" i="1"/>
  <c r="F33" i="1"/>
  <c r="D33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F32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F31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G30" i="1"/>
  <c r="E30" i="1"/>
  <c r="F30" i="1"/>
  <c r="D30" i="1"/>
  <c r="I10" i="4" l="1"/>
  <c r="H10" i="4"/>
  <c r="F10" i="4"/>
  <c r="J10" i="4" s="1"/>
  <c r="E10" i="4"/>
  <c r="H9" i="4"/>
  <c r="F9" i="4"/>
  <c r="J9" i="4" s="1"/>
  <c r="E16" i="4"/>
  <c r="F16" i="4"/>
  <c r="Y37" i="1" l="1"/>
  <c r="X37" i="1"/>
  <c r="H6" i="4"/>
  <c r="Q17" i="1" l="1"/>
  <c r="F24" i="2"/>
  <c r="S17" i="1"/>
  <c r="H5" i="4" l="1"/>
  <c r="U3" i="1" l="1"/>
  <c r="Y4" i="1" l="1"/>
  <c r="F5" i="2" l="1"/>
  <c r="F6" i="2"/>
  <c r="F10" i="2"/>
  <c r="F11" i="2"/>
  <c r="F12" i="2"/>
  <c r="F13" i="2"/>
  <c r="F14" i="2"/>
  <c r="F15" i="2"/>
  <c r="F19" i="2"/>
  <c r="F20" i="2"/>
  <c r="F21" i="2"/>
  <c r="F22" i="2"/>
  <c r="F23" i="2"/>
  <c r="F31" i="2"/>
  <c r="F32" i="2"/>
  <c r="F33" i="2"/>
  <c r="F34" i="2"/>
  <c r="F35" i="2"/>
  <c r="F36" i="2"/>
  <c r="F37" i="2"/>
  <c r="F38" i="2"/>
  <c r="F39" i="2"/>
  <c r="F56" i="2" l="1"/>
  <c r="AC38" i="1" l="1"/>
  <c r="R17" i="1" l="1"/>
  <c r="T17" i="1"/>
  <c r="V17" i="1"/>
  <c r="P17" i="1"/>
  <c r="E17" i="1"/>
  <c r="F17" i="1"/>
  <c r="G17" i="1"/>
  <c r="H17" i="1"/>
  <c r="I17" i="1"/>
  <c r="J17" i="1"/>
  <c r="K17" i="1"/>
  <c r="L17" i="1"/>
  <c r="M17" i="1"/>
  <c r="N17" i="1"/>
  <c r="O17" i="1"/>
  <c r="D17" i="1"/>
  <c r="F4" i="2" l="1"/>
  <c r="Y5" i="1" l="1"/>
  <c r="Y6" i="1"/>
  <c r="Y8" i="1"/>
  <c r="Y9" i="1"/>
  <c r="Y10" i="1"/>
  <c r="Y11" i="1"/>
  <c r="Y12" i="1"/>
  <c r="Y13" i="1"/>
  <c r="Y15" i="1"/>
  <c r="Y16" i="1"/>
  <c r="Y17" i="1"/>
  <c r="Y22" i="1"/>
  <c r="X5" i="1"/>
  <c r="X6" i="1"/>
  <c r="X8" i="1"/>
  <c r="X9" i="1"/>
  <c r="X10" i="1"/>
  <c r="X11" i="1"/>
  <c r="X12" i="1"/>
  <c r="X13" i="1"/>
  <c r="X15" i="1"/>
  <c r="X16" i="1"/>
  <c r="X17" i="1"/>
  <c r="X22" i="1"/>
  <c r="X4" i="1"/>
  <c r="Z15" i="1" l="1"/>
  <c r="AA15" i="1" s="1"/>
  <c r="AB15" i="1" s="1"/>
  <c r="Z13" i="1"/>
  <c r="AA13" i="1" s="1"/>
  <c r="AB13" i="1" s="1"/>
  <c r="Z5" i="1"/>
  <c r="AA5" i="1" s="1"/>
  <c r="AB5" i="1" s="1"/>
  <c r="Z10" i="1"/>
  <c r="AA10" i="1" s="1"/>
  <c r="AB10" i="1" s="1"/>
  <c r="Z16" i="1"/>
  <c r="AA16" i="1" s="1"/>
  <c r="AB16" i="1" s="1"/>
  <c r="Z11" i="1"/>
  <c r="AA11" i="1" s="1"/>
  <c r="AB11" i="1" s="1"/>
  <c r="Z22" i="1"/>
  <c r="AA22" i="1" s="1"/>
  <c r="AB22" i="1" s="1"/>
  <c r="Z9" i="1"/>
  <c r="AA9" i="1" s="1"/>
  <c r="AB9" i="1" s="1"/>
  <c r="Z6" i="1"/>
  <c r="AA6" i="1" s="1"/>
  <c r="AB6" i="1" s="1"/>
  <c r="Z12" i="1"/>
  <c r="AA12" i="1" s="1"/>
  <c r="AB12" i="1" s="1"/>
  <c r="AC12" i="1" s="1"/>
  <c r="Z4" i="1"/>
  <c r="AA4" i="1" s="1"/>
  <c r="AB4" i="1" s="1"/>
  <c r="Z17" i="1"/>
  <c r="AA17" i="1" s="1"/>
  <c r="AB17" i="1" s="1"/>
  <c r="Z8" i="1"/>
  <c r="AA8" i="1" s="1"/>
  <c r="AB8" i="1" s="1"/>
  <c r="C38" i="1"/>
  <c r="C17" i="5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3" i="3"/>
  <c r="C25" i="2"/>
  <c r="C40" i="2"/>
  <c r="C49" i="2"/>
  <c r="C69" i="2"/>
  <c r="C65" i="2"/>
  <c r="C54" i="2"/>
  <c r="C57" i="2"/>
  <c r="C60" i="2"/>
  <c r="F68" i="2"/>
  <c r="F67" i="2"/>
  <c r="F63" i="2"/>
  <c r="F64" i="2"/>
  <c r="F62" i="2"/>
  <c r="F59" i="2"/>
  <c r="F60" i="2" s="1"/>
  <c r="F57" i="2"/>
  <c r="F52" i="2"/>
  <c r="F53" i="2"/>
  <c r="F51" i="2"/>
  <c r="F43" i="2"/>
  <c r="F44" i="2"/>
  <c r="F45" i="2"/>
  <c r="F46" i="2"/>
  <c r="F47" i="2"/>
  <c r="F48" i="2"/>
  <c r="F42" i="2"/>
  <c r="F30" i="2"/>
  <c r="C17" i="1"/>
  <c r="F27" i="2"/>
  <c r="F28" i="2" s="1"/>
  <c r="F18" i="2"/>
  <c r="F25" i="2" s="1"/>
  <c r="C16" i="2"/>
  <c r="C7" i="2"/>
  <c r="F9" i="2"/>
  <c r="D46" i="3"/>
  <c r="AC10" i="1" l="1"/>
  <c r="AC8" i="1"/>
  <c r="AC17" i="1"/>
  <c r="AC11" i="1"/>
  <c r="AC9" i="1"/>
  <c r="AC4" i="1"/>
  <c r="AC13" i="1"/>
  <c r="AC22" i="1"/>
  <c r="AC5" i="1"/>
  <c r="AC6" i="1"/>
  <c r="AC16" i="1"/>
  <c r="AC15" i="1"/>
  <c r="F46" i="3"/>
  <c r="F65" i="2"/>
  <c r="F16" i="2"/>
  <c r="F7" i="2"/>
  <c r="F69" i="2"/>
  <c r="F54" i="2"/>
  <c r="F49" i="2"/>
  <c r="F40" i="2"/>
  <c r="Q7" i="1" l="1"/>
  <c r="S7" i="1"/>
  <c r="E7" i="1"/>
  <c r="D7" i="1"/>
  <c r="G7" i="1"/>
  <c r="F7" i="1"/>
  <c r="V7" i="1"/>
  <c r="O7" i="1"/>
  <c r="N7" i="1"/>
  <c r="M7" i="1"/>
  <c r="L7" i="1"/>
  <c r="T7" i="1"/>
  <c r="P7" i="1"/>
  <c r="R7" i="1"/>
  <c r="H7" i="1"/>
  <c r="K7" i="1"/>
  <c r="J7" i="1"/>
  <c r="I7" i="1"/>
  <c r="F70" i="2"/>
  <c r="Q18" i="1" l="1"/>
  <c r="S18" i="1"/>
  <c r="E18" i="1"/>
  <c r="D18" i="1"/>
  <c r="G4" i="5"/>
  <c r="D4" i="5"/>
  <c r="V18" i="1"/>
  <c r="P18" i="1"/>
  <c r="H18" i="1"/>
  <c r="I18" i="1"/>
  <c r="R18" i="1"/>
  <c r="J18" i="1"/>
  <c r="K18" i="1"/>
  <c r="O18" i="1"/>
  <c r="T18" i="1"/>
  <c r="L18" i="1"/>
  <c r="M18" i="1"/>
  <c r="F18" i="1"/>
  <c r="N18" i="1"/>
  <c r="G18" i="1"/>
  <c r="Y7" i="1"/>
  <c r="X7" i="1"/>
  <c r="F4" i="5"/>
  <c r="Y18" i="1" l="1"/>
  <c r="Z18" i="1" s="1"/>
  <c r="AA18" i="1" s="1"/>
  <c r="AB18" i="1" s="1"/>
  <c r="X19" i="1"/>
  <c r="C19" i="1"/>
  <c r="X18" i="1"/>
  <c r="C18" i="1"/>
  <c r="Y19" i="1"/>
  <c r="Z19" i="1" s="1"/>
  <c r="AA19" i="1" s="1"/>
  <c r="AB19" i="1" s="1"/>
  <c r="Z7" i="1"/>
  <c r="C37" i="1"/>
  <c r="AC37" i="1" l="1"/>
  <c r="AC18" i="1"/>
  <c r="AC19" i="1"/>
  <c r="AA7" i="1"/>
  <c r="C10" i="5"/>
  <c r="C11" i="5"/>
  <c r="C21" i="5"/>
  <c r="C20" i="5"/>
  <c r="C19" i="5"/>
  <c r="C18" i="5"/>
  <c r="C14" i="5"/>
  <c r="C13" i="5"/>
  <c r="C12" i="5"/>
  <c r="C9" i="5"/>
  <c r="C8" i="5"/>
  <c r="C7" i="5"/>
  <c r="C6" i="5"/>
  <c r="C5" i="5"/>
  <c r="C4" i="5"/>
  <c r="H7" i="4"/>
  <c r="H8" i="4"/>
  <c r="H12" i="4"/>
  <c r="H13" i="4"/>
  <c r="H14" i="4"/>
  <c r="H15" i="4"/>
  <c r="H3" i="4"/>
  <c r="F15" i="5" l="1"/>
  <c r="H16" i="5"/>
  <c r="H3" i="5" s="1"/>
  <c r="G16" i="5"/>
  <c r="G15" i="5"/>
  <c r="AB7" i="1"/>
  <c r="AC7" i="1" s="1"/>
  <c r="E3" i="5"/>
  <c r="I3" i="5"/>
  <c r="H16" i="4"/>
  <c r="E12" i="4"/>
  <c r="I12" i="4" s="1"/>
  <c r="F12" i="4"/>
  <c r="J12" i="4" s="1"/>
  <c r="E13" i="4"/>
  <c r="I13" i="4" s="1"/>
  <c r="F13" i="4"/>
  <c r="J13" i="4" s="1"/>
  <c r="E14" i="4"/>
  <c r="I14" i="4" s="1"/>
  <c r="F14" i="4"/>
  <c r="J14" i="4" s="1"/>
  <c r="E15" i="4"/>
  <c r="I15" i="4" s="1"/>
  <c r="F15" i="4"/>
  <c r="J15" i="4" s="1"/>
  <c r="E8" i="4"/>
  <c r="I8" i="4" s="1"/>
  <c r="F8" i="4"/>
  <c r="J8" i="4" s="1"/>
  <c r="Q27" i="1" l="1"/>
  <c r="S27" i="1"/>
  <c r="Q28" i="1"/>
  <c r="S28" i="1"/>
  <c r="S26" i="1"/>
  <c r="Q26" i="1"/>
  <c r="S29" i="1"/>
  <c r="Q29" i="1"/>
  <c r="J29" i="1"/>
  <c r="R29" i="1"/>
  <c r="L29" i="1"/>
  <c r="K29" i="1"/>
  <c r="M29" i="1"/>
  <c r="U29" i="1"/>
  <c r="P29" i="1"/>
  <c r="N29" i="1"/>
  <c r="V29" i="1"/>
  <c r="O29" i="1"/>
  <c r="I29" i="1"/>
  <c r="T29" i="1"/>
  <c r="M28" i="1"/>
  <c r="U28" i="1"/>
  <c r="N28" i="1"/>
  <c r="V28" i="1"/>
  <c r="O28" i="1"/>
  <c r="P28" i="1"/>
  <c r="I28" i="1"/>
  <c r="J28" i="1"/>
  <c r="R28" i="1"/>
  <c r="K28" i="1"/>
  <c r="L28" i="1"/>
  <c r="T28" i="1"/>
  <c r="M27" i="1"/>
  <c r="U27" i="1"/>
  <c r="N27" i="1"/>
  <c r="V27" i="1"/>
  <c r="O27" i="1"/>
  <c r="P27" i="1"/>
  <c r="I27" i="1"/>
  <c r="J27" i="1"/>
  <c r="R27" i="1"/>
  <c r="K27" i="1"/>
  <c r="L27" i="1"/>
  <c r="T27" i="1"/>
  <c r="M26" i="1"/>
  <c r="U26" i="1"/>
  <c r="N26" i="1"/>
  <c r="V26" i="1"/>
  <c r="O26" i="1"/>
  <c r="P26" i="1"/>
  <c r="I26" i="1"/>
  <c r="J26" i="1"/>
  <c r="R26" i="1"/>
  <c r="K26" i="1"/>
  <c r="L26" i="1"/>
  <c r="T26" i="1"/>
  <c r="H28" i="1"/>
  <c r="F27" i="1"/>
  <c r="H27" i="1"/>
  <c r="H26" i="1"/>
  <c r="H29" i="1"/>
  <c r="Y33" i="1"/>
  <c r="Z33" i="1" s="1"/>
  <c r="AA33" i="1" s="1"/>
  <c r="AB33" i="1" s="1"/>
  <c r="C15" i="5"/>
  <c r="F3" i="5"/>
  <c r="C16" i="5"/>
  <c r="G3" i="5"/>
  <c r="X33" i="1"/>
  <c r="C33" i="1"/>
  <c r="D29" i="1"/>
  <c r="G29" i="1"/>
  <c r="E29" i="1"/>
  <c r="F29" i="1"/>
  <c r="G28" i="1"/>
  <c r="F28" i="1"/>
  <c r="E28" i="1"/>
  <c r="D28" i="1"/>
  <c r="E26" i="1"/>
  <c r="D26" i="1"/>
  <c r="F26" i="1"/>
  <c r="G26" i="1"/>
  <c r="E27" i="1"/>
  <c r="D27" i="1"/>
  <c r="G27" i="1"/>
  <c r="F6" i="4"/>
  <c r="J6" i="4" s="1"/>
  <c r="F7" i="4"/>
  <c r="J7" i="4" s="1"/>
  <c r="E6" i="4"/>
  <c r="I6" i="4" s="1"/>
  <c r="E7" i="4"/>
  <c r="I7" i="4" s="1"/>
  <c r="F5" i="4"/>
  <c r="J5" i="4" s="1"/>
  <c r="F3" i="4"/>
  <c r="J3" i="4" s="1"/>
  <c r="E5" i="4"/>
  <c r="I5" i="4" s="1"/>
  <c r="E3" i="4"/>
  <c r="I3" i="4" s="1"/>
  <c r="Y26" i="1" l="1"/>
  <c r="Y28" i="1"/>
  <c r="Z28" i="1" s="1"/>
  <c r="AA28" i="1" s="1"/>
  <c r="AB28" i="1" s="1"/>
  <c r="S24" i="1"/>
  <c r="Q24" i="1"/>
  <c r="O24" i="1"/>
  <c r="P24" i="1"/>
  <c r="I24" i="1"/>
  <c r="R24" i="1"/>
  <c r="D24" i="1"/>
  <c r="V24" i="1"/>
  <c r="J24" i="1"/>
  <c r="T24" i="1"/>
  <c r="M24" i="1"/>
  <c r="K24" i="1"/>
  <c r="U24" i="1"/>
  <c r="L24" i="1"/>
  <c r="N24" i="1"/>
  <c r="Q25" i="1"/>
  <c r="S25" i="1"/>
  <c r="Y27" i="1"/>
  <c r="Z27" i="1" s="1"/>
  <c r="AA27" i="1" s="1"/>
  <c r="AB27" i="1" s="1"/>
  <c r="M25" i="1"/>
  <c r="U25" i="1"/>
  <c r="D25" i="1"/>
  <c r="F25" i="1"/>
  <c r="N25" i="1"/>
  <c r="V25" i="1"/>
  <c r="O25" i="1"/>
  <c r="K25" i="1"/>
  <c r="P25" i="1"/>
  <c r="I25" i="1"/>
  <c r="H25" i="1"/>
  <c r="L25" i="1"/>
  <c r="E25" i="1"/>
  <c r="J25" i="1"/>
  <c r="R25" i="1"/>
  <c r="G25" i="1"/>
  <c r="T25" i="1"/>
  <c r="Y29" i="1"/>
  <c r="Z29" i="1" s="1"/>
  <c r="AA29" i="1" s="1"/>
  <c r="AB29" i="1" s="1"/>
  <c r="Y30" i="1"/>
  <c r="Z30" i="1" s="1"/>
  <c r="AA30" i="1" s="1"/>
  <c r="AB30" i="1" s="1"/>
  <c r="AC33" i="1"/>
  <c r="Z26" i="1"/>
  <c r="AA26" i="1" s="1"/>
  <c r="AB26" i="1" s="1"/>
  <c r="H24" i="1"/>
  <c r="G24" i="1"/>
  <c r="Y32" i="1"/>
  <c r="Z32" i="1" s="1"/>
  <c r="AA32" i="1" s="1"/>
  <c r="AB32" i="1" s="1"/>
  <c r="X29" i="1"/>
  <c r="F24" i="1"/>
  <c r="X32" i="1"/>
  <c r="X27" i="1"/>
  <c r="X26" i="1"/>
  <c r="X28" i="1"/>
  <c r="I16" i="4"/>
  <c r="X30" i="1"/>
  <c r="J16" i="4"/>
  <c r="E24" i="1"/>
  <c r="C26" i="1"/>
  <c r="C27" i="1"/>
  <c r="C28" i="1"/>
  <c r="C29" i="1"/>
  <c r="C30" i="1"/>
  <c r="C32" i="1"/>
  <c r="C34" i="1"/>
  <c r="C4" i="1"/>
  <c r="C5" i="1"/>
  <c r="C6" i="1"/>
  <c r="C7" i="1"/>
  <c r="C8" i="1"/>
  <c r="C9" i="1"/>
  <c r="C10" i="1"/>
  <c r="C11" i="1"/>
  <c r="C12" i="1"/>
  <c r="C13" i="1"/>
  <c r="C15" i="1"/>
  <c r="C16" i="1"/>
  <c r="C22" i="1"/>
  <c r="S23" i="1" l="1"/>
  <c r="S14" i="1" s="1"/>
  <c r="U23" i="1"/>
  <c r="U35" i="1" s="1"/>
  <c r="P23" i="1"/>
  <c r="Q23" i="1"/>
  <c r="Q14" i="1" s="1"/>
  <c r="Y24" i="1"/>
  <c r="Z24" i="1" s="1"/>
  <c r="AA24" i="1" s="1"/>
  <c r="AB24" i="1" s="1"/>
  <c r="X25" i="1"/>
  <c r="Y25" i="1"/>
  <c r="Z25" i="1" s="1"/>
  <c r="AA25" i="1" s="1"/>
  <c r="AB25" i="1" s="1"/>
  <c r="X24" i="1"/>
  <c r="M23" i="1"/>
  <c r="AC27" i="1"/>
  <c r="AC29" i="1"/>
  <c r="AC30" i="1"/>
  <c r="AC26" i="1"/>
  <c r="J23" i="1"/>
  <c r="R23" i="1"/>
  <c r="K23" i="1"/>
  <c r="K14" i="1" s="1"/>
  <c r="V23" i="1"/>
  <c r="V14" i="1" s="1"/>
  <c r="N23" i="1"/>
  <c r="C25" i="1"/>
  <c r="O23" i="1"/>
  <c r="I23" i="1"/>
  <c r="I14" i="1" s="1"/>
  <c r="T23" i="1"/>
  <c r="L23" i="1"/>
  <c r="AC28" i="1"/>
  <c r="AC32" i="1"/>
  <c r="G23" i="1"/>
  <c r="Y31" i="1"/>
  <c r="Z31" i="1" s="1"/>
  <c r="AA31" i="1" s="1"/>
  <c r="AB31" i="1" s="1"/>
  <c r="H23" i="1"/>
  <c r="Y21" i="1"/>
  <c r="Z21" i="1" s="1"/>
  <c r="AA21" i="1" s="1"/>
  <c r="AB21" i="1" s="1"/>
  <c r="X21" i="1"/>
  <c r="X31" i="1"/>
  <c r="E23" i="1"/>
  <c r="C21" i="1"/>
  <c r="F23" i="1"/>
  <c r="D23" i="1"/>
  <c r="D14" i="1" s="1"/>
  <c r="C24" i="1"/>
  <c r="C31" i="1"/>
  <c r="S3" i="1" l="1"/>
  <c r="S35" i="1" s="1"/>
  <c r="Q3" i="1"/>
  <c r="Q35" i="1" s="1"/>
  <c r="AC25" i="1"/>
  <c r="V3" i="1"/>
  <c r="V35" i="1" s="1"/>
  <c r="G14" i="1"/>
  <c r="G3" i="1" s="1"/>
  <c r="G35" i="1" s="1"/>
  <c r="K3" i="1"/>
  <c r="K35" i="1" s="1"/>
  <c r="I3" i="1"/>
  <c r="I35" i="1" s="1"/>
  <c r="AC31" i="1"/>
  <c r="AC21" i="1"/>
  <c r="R14" i="1"/>
  <c r="H14" i="1"/>
  <c r="E14" i="1"/>
  <c r="L14" i="1"/>
  <c r="T14" i="1"/>
  <c r="O14" i="1"/>
  <c r="P14" i="1"/>
  <c r="J14" i="1"/>
  <c r="M14" i="1"/>
  <c r="N14" i="1"/>
  <c r="F14" i="1"/>
  <c r="AC24" i="1"/>
  <c r="AB23" i="1"/>
  <c r="Y23" i="1"/>
  <c r="AA23" i="1"/>
  <c r="Z23" i="1"/>
  <c r="X23" i="1"/>
  <c r="C23" i="1"/>
  <c r="L3" i="1" l="1"/>
  <c r="L35" i="1" s="1"/>
  <c r="T3" i="1"/>
  <c r="T35" i="1" s="1"/>
  <c r="P3" i="1"/>
  <c r="P35" i="1" s="1"/>
  <c r="M3" i="1"/>
  <c r="M35" i="1" s="1"/>
  <c r="H3" i="1"/>
  <c r="H35" i="1" s="1"/>
  <c r="O3" i="1"/>
  <c r="O35" i="1" s="1"/>
  <c r="N3" i="1"/>
  <c r="N35" i="1" s="1"/>
  <c r="F3" i="1"/>
  <c r="F35" i="1" s="1"/>
  <c r="J3" i="1"/>
  <c r="J35" i="1" s="1"/>
  <c r="R3" i="1"/>
  <c r="R35" i="1" s="1"/>
  <c r="AC23" i="1"/>
  <c r="Y14" i="1"/>
  <c r="Z14" i="1" s="1"/>
  <c r="AA14" i="1" s="1"/>
  <c r="C14" i="1"/>
  <c r="Y20" i="1"/>
  <c r="Z20" i="1" s="1"/>
  <c r="AA20" i="1" s="1"/>
  <c r="AB20" i="1" s="1"/>
  <c r="X20" i="1"/>
  <c r="X14" i="1"/>
  <c r="E3" i="1"/>
  <c r="E35" i="1" s="1"/>
  <c r="C20" i="1"/>
  <c r="D3" i="1"/>
  <c r="D3" i="5"/>
  <c r="C22" i="5"/>
  <c r="C3" i="5" s="1"/>
  <c r="C43" i="1" s="1"/>
  <c r="C44" i="1" s="1"/>
  <c r="AC20" i="1" l="1"/>
  <c r="C3" i="1"/>
  <c r="Z3" i="1"/>
  <c r="Z35" i="1" s="1"/>
  <c r="Y3" i="1"/>
  <c r="Y35" i="1" s="1"/>
  <c r="AB14" i="1"/>
  <c r="AC14" i="1" s="1"/>
  <c r="AA3" i="1"/>
  <c r="AA35" i="1" s="1"/>
  <c r="X3" i="1"/>
  <c r="D35" i="1"/>
  <c r="D36" i="1" s="1"/>
  <c r="E36" i="1" s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Q36" i="1" l="1"/>
  <c r="R36" i="1" s="1"/>
  <c r="S36" i="1" s="1"/>
  <c r="T36" i="1" s="1"/>
  <c r="U36" i="1" s="1"/>
  <c r="V36" i="1" s="1"/>
  <c r="X36" i="1"/>
  <c r="Y36" i="1" s="1"/>
  <c r="Z36" i="1" s="1"/>
  <c r="AA36" i="1" s="1"/>
  <c r="X35" i="1"/>
  <c r="X39" i="1" s="1"/>
  <c r="D39" i="1"/>
  <c r="E39" i="1" s="1"/>
  <c r="F39" i="1" s="1"/>
  <c r="G39" i="1" s="1"/>
  <c r="H39" i="1" s="1"/>
  <c r="I39" i="1" s="1"/>
  <c r="J39" i="1" s="1"/>
  <c r="K39" i="1" s="1"/>
  <c r="L39" i="1" s="1"/>
  <c r="M39" i="1" s="1"/>
  <c r="N39" i="1" s="1"/>
  <c r="O39" i="1" s="1"/>
  <c r="P39" i="1" s="1"/>
  <c r="Q39" i="1" s="1"/>
  <c r="R39" i="1" l="1"/>
  <c r="S39" i="1" s="1"/>
  <c r="Y39" i="1"/>
  <c r="AB3" i="1"/>
  <c r="T39" i="1" l="1"/>
  <c r="U39" i="1" s="1"/>
  <c r="V39" i="1" s="1"/>
  <c r="AB35" i="1"/>
  <c r="AB36" i="1" s="1"/>
  <c r="AC3" i="1"/>
  <c r="AC35" i="1" s="1"/>
  <c r="Z39" i="1"/>
  <c r="AC36" i="1" l="1"/>
  <c r="AA39" i="1"/>
  <c r="AB39" i="1" s="1"/>
  <c r="AC39" i="1" l="1"/>
</calcChain>
</file>

<file path=xl/sharedStrings.xml><?xml version="1.0" encoding="utf-8"?>
<sst xmlns="http://schemas.openxmlformats.org/spreadsheetml/2006/main" count="372" uniqueCount="308">
  <si>
    <t>№</t>
  </si>
  <si>
    <t>Наименование</t>
  </si>
  <si>
    <t>1 мес.</t>
  </si>
  <si>
    <t>2 мес.</t>
  </si>
  <si>
    <t>3 мес.</t>
  </si>
  <si>
    <t>4 мес.</t>
  </si>
  <si>
    <t>5 мес.</t>
  </si>
  <si>
    <t>6 мес.</t>
  </si>
  <si>
    <t>7 мес.</t>
  </si>
  <si>
    <t>8 мес.</t>
  </si>
  <si>
    <t>9 мес.</t>
  </si>
  <si>
    <t>10 мес.</t>
  </si>
  <si>
    <t>11 мес.</t>
  </si>
  <si>
    <t>12 мес.</t>
  </si>
  <si>
    <t>13 мес.</t>
  </si>
  <si>
    <t>14 мес.</t>
  </si>
  <si>
    <t>15 мес.</t>
  </si>
  <si>
    <t>16 мес.</t>
  </si>
  <si>
    <t>17 мес.</t>
  </si>
  <si>
    <t>18 мес.</t>
  </si>
  <si>
    <t>Расходы:</t>
  </si>
  <si>
    <t>1.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</si>
  <si>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</si>
  <si>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</si>
  <si>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</si>
  <si>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</si>
  <si>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</si>
  <si>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</si>
  <si>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</si>
  <si>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</si>
  <si>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</si>
  <si>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</si>
  <si>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</si>
  <si>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</si>
  <si>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 xml:space="preserve">Оборудование </t>
  </si>
  <si>
    <t>Регистрация предприятия</t>
  </si>
  <si>
    <t>Аренда производственой площадки</t>
  </si>
  <si>
    <t>Аренда офиса</t>
  </si>
  <si>
    <t xml:space="preserve">Операционные расходы </t>
  </si>
  <si>
    <t xml:space="preserve"> Компьютеры и орг. техника </t>
  </si>
  <si>
    <t>Документация и сертификация (кроме ГЭЭ)</t>
  </si>
  <si>
    <t>Государственная Экологическая Экспертиза (ГЭЭ)</t>
  </si>
  <si>
    <t>Промышленная безопастность</t>
  </si>
  <si>
    <t>Автопогрузчик</t>
  </si>
  <si>
    <t>Инструмент</t>
  </si>
  <si>
    <t>Участие в высавках</t>
  </si>
  <si>
    <t>Реклама</t>
  </si>
  <si>
    <t>1-13</t>
  </si>
  <si>
    <t>1-14</t>
  </si>
  <si>
    <t>1-15</t>
  </si>
  <si>
    <t>1-16</t>
  </si>
  <si>
    <t>1-17</t>
  </si>
  <si>
    <t>ФОТ</t>
  </si>
  <si>
    <t>2.</t>
  </si>
  <si>
    <t>Доходы:</t>
  </si>
  <si>
    <t>3.</t>
  </si>
  <si>
    <t>Возврат инвестиций</t>
  </si>
  <si>
    <t>4.</t>
  </si>
  <si>
    <t>Операционная прибыль (доход-расход)</t>
  </si>
  <si>
    <t>5.</t>
  </si>
  <si>
    <t>Дивиденды</t>
  </si>
  <si>
    <t>Нераспределенная прибыль</t>
  </si>
  <si>
    <t>6.</t>
  </si>
  <si>
    <t>Тариф</t>
  </si>
  <si>
    <t>Реализация бензина</t>
  </si>
  <si>
    <t>Реализация дизеля</t>
  </si>
  <si>
    <t>Прочие</t>
  </si>
  <si>
    <t>Коммандировки</t>
  </si>
  <si>
    <t>Реализация тех. углерода</t>
  </si>
  <si>
    <t>Реализация мазута</t>
  </si>
  <si>
    <t>Реализация тяжелых фракций</t>
  </si>
  <si>
    <t>Утилизация фильтров</t>
  </si>
  <si>
    <t>Расходные материалы (производственные)</t>
  </si>
  <si>
    <t>Грузовой транспорт</t>
  </si>
  <si>
    <t>Спецодежда</t>
  </si>
  <si>
    <t>Эксплуатация АБК</t>
  </si>
  <si>
    <r>
      <t>Реализация углекислоты (СО</t>
    </r>
    <r>
      <rPr>
        <i/>
        <sz val="6"/>
        <color theme="1"/>
        <rFont val="Calibri"/>
        <family val="2"/>
        <scheme val="minor"/>
      </rPr>
      <t>2</t>
    </r>
    <r>
      <rPr>
        <i/>
        <sz val="9"/>
        <color theme="1"/>
        <rFont val="Calibri"/>
        <family val="2"/>
        <scheme val="minor"/>
      </rPr>
      <t>)</t>
    </r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</si>
  <si>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</si>
  <si>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</si>
  <si>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</si>
  <si>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</si>
  <si>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</si>
  <si>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</si>
  <si>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</si>
  <si>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</si>
  <si>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</si>
  <si>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Металлолом</t>
  </si>
  <si>
    <t>7.</t>
  </si>
  <si>
    <t>Баланс доходов-расходов (БДР)</t>
  </si>
  <si>
    <t>ВСЕГО</t>
  </si>
  <si>
    <t>% выхода</t>
  </si>
  <si>
    <t>стоимость тонны</t>
  </si>
  <si>
    <t>Технический углерод (зольность до 7%)</t>
  </si>
  <si>
    <t>тонн в сутки</t>
  </si>
  <si>
    <t>тонн в месяц (27 дней)</t>
  </si>
  <si>
    <t>Стоимость в сутки</t>
  </si>
  <si>
    <t>Стоимость в месяц</t>
  </si>
  <si>
    <t>Стоимость в год</t>
  </si>
  <si>
    <t>Газ (пропан-бутан-этан)</t>
  </si>
  <si>
    <t>Металлокорд</t>
  </si>
  <si>
    <t>Бензин АИ-92</t>
  </si>
  <si>
    <t>Мазут М100</t>
  </si>
  <si>
    <t>Гудрон тяжелый</t>
  </si>
  <si>
    <t>25-28</t>
  </si>
  <si>
    <t>45-47</t>
  </si>
  <si>
    <t>10-12</t>
  </si>
  <si>
    <t>6-10</t>
  </si>
  <si>
    <r>
      <t>Жидкий СО</t>
    </r>
    <r>
      <rPr>
        <sz val="8"/>
        <color theme="1"/>
        <rFont val="Calibri"/>
        <family val="2"/>
        <scheme val="minor"/>
      </rPr>
      <t>2</t>
    </r>
  </si>
  <si>
    <t>тонн в год     ( 340 дней)</t>
  </si>
  <si>
    <t>5-8</t>
  </si>
  <si>
    <t>Капитальные затраты</t>
  </si>
  <si>
    <t>Операционная деятельность</t>
  </si>
  <si>
    <t>Обслуживание транспорта</t>
  </si>
  <si>
    <t>ИТОГО</t>
  </si>
  <si>
    <t>Реализация вторсырья</t>
  </si>
  <si>
    <t>Вторсырье</t>
  </si>
  <si>
    <t>Получение лицензии на утилизацию отходов</t>
  </si>
  <si>
    <t>25</t>
  </si>
  <si>
    <t>CAPEX -</t>
  </si>
  <si>
    <t>Количество в смену</t>
  </si>
  <si>
    <t>Общее количество</t>
  </si>
  <si>
    <t>Оклад</t>
  </si>
  <si>
    <t>ЗП в месяц</t>
  </si>
  <si>
    <t>Генеральный  директор</t>
  </si>
  <si>
    <t>Финансовый директор</t>
  </si>
  <si>
    <t>Главный бухгалтер</t>
  </si>
  <si>
    <t>Инженер-технолог производства</t>
  </si>
  <si>
    <t>Инженер по охране труда и ТБ</t>
  </si>
  <si>
    <t>Машинист электростанции</t>
  </si>
  <si>
    <t>Машинист газокомпрессорных станций</t>
  </si>
  <si>
    <t>Машинист шредеров</t>
  </si>
  <si>
    <t>Диспетчер на пульте АСУ ТП</t>
  </si>
  <si>
    <t>Подсобный рабочий</t>
  </si>
  <si>
    <t>ИТОГО:</t>
  </si>
  <si>
    <t>Потребляемая мощность (кВт\ч)</t>
  </si>
  <si>
    <t>Цена единицы</t>
  </si>
  <si>
    <t>кол-во</t>
  </si>
  <si>
    <t>Стоимость</t>
  </si>
  <si>
    <t>УЧАСТОК ПОДГОТОВКИ СЫРЬЯ</t>
  </si>
  <si>
    <t>Итого по разделу:</t>
  </si>
  <si>
    <t>ТОПЛИВНЫЙ УЧАСТОК</t>
  </si>
  <si>
    <t xml:space="preserve">Насосная абсорбентная станция  </t>
  </si>
  <si>
    <t>Оборудование для очистки топлива на выдачу</t>
  </si>
  <si>
    <t>2</t>
  </si>
  <si>
    <t>РЕАКТОРНЫЙ УЧАСТОК</t>
  </si>
  <si>
    <t xml:space="preserve">Блок охлаждения и конденсации </t>
  </si>
  <si>
    <t xml:space="preserve">Станция очистки синтез газа </t>
  </si>
  <si>
    <t>Станция очистки дымовых газов</t>
  </si>
  <si>
    <t>Станция десульфурации и дегазации</t>
  </si>
  <si>
    <t>3-1</t>
  </si>
  <si>
    <t>3-2</t>
  </si>
  <si>
    <t>7-1</t>
  </si>
  <si>
    <t>5-1</t>
  </si>
  <si>
    <t>3-3</t>
  </si>
  <si>
    <t>3-4</t>
  </si>
  <si>
    <t>3-5</t>
  </si>
  <si>
    <t>3-6</t>
  </si>
  <si>
    <t>ЭЛЕКТРОСТАНЦИЯ</t>
  </si>
  <si>
    <t>4-1</t>
  </si>
  <si>
    <t>Моторное масло Mobil Delvac MX Extra 10W-40 для ГПЭС (0,5г/1Квт.ч.)</t>
  </si>
  <si>
    <t>ГАЗОКОМПРЕССОРНЫЙ УЧАСТОК</t>
  </si>
  <si>
    <t>Станция  сжатия синтез газа</t>
  </si>
  <si>
    <t>Станция фильтрации синтез газа</t>
  </si>
  <si>
    <t>Станция очистки пропан/этан/бутана</t>
  </si>
  <si>
    <t>Станция сжатия пропан/этан/бутана</t>
  </si>
  <si>
    <t>Станция сжижения пропан/этан/бутана</t>
  </si>
  <si>
    <t xml:space="preserve">Крио-газгольдер для СУГ наземный 50 м3 </t>
  </si>
  <si>
    <t>Емкости для СО2 УДХ50-2.0 50м3</t>
  </si>
  <si>
    <t>5-2</t>
  </si>
  <si>
    <t>5-3</t>
  </si>
  <si>
    <t>5-4</t>
  </si>
  <si>
    <t>5-5</t>
  </si>
  <si>
    <t>5-6</t>
  </si>
  <si>
    <t>5-7</t>
  </si>
  <si>
    <t>5-9</t>
  </si>
  <si>
    <t>5-10</t>
  </si>
  <si>
    <t>НАСОСНЫЙ УЧАСТОК</t>
  </si>
  <si>
    <t>Насосная станция обслуживания топливного парка</t>
  </si>
  <si>
    <t>Насосная магистральная станция</t>
  </si>
  <si>
    <t>Канализационные очистные 4,3 м3/сутки</t>
  </si>
  <si>
    <t>Насосная станция горячих масел 1*8 шт</t>
  </si>
  <si>
    <t>Станция водоподготовки  5 м3/сутки</t>
  </si>
  <si>
    <t>Скважина на воду 4,5 м3/сутки</t>
  </si>
  <si>
    <t>6-1</t>
  </si>
  <si>
    <t>6-3</t>
  </si>
  <si>
    <t>6-2</t>
  </si>
  <si>
    <t>6-4</t>
  </si>
  <si>
    <t>6-5</t>
  </si>
  <si>
    <t>6-6</t>
  </si>
  <si>
    <t>6-7</t>
  </si>
  <si>
    <t>УЧАСТОК ПОЖАРОТУШЕНИЯ</t>
  </si>
  <si>
    <t>Станция пенного пожаротушения</t>
  </si>
  <si>
    <t>Станция газового пожаротушения</t>
  </si>
  <si>
    <t>7-2</t>
  </si>
  <si>
    <t>7-3</t>
  </si>
  <si>
    <t>Фильтры для газоочистных станций</t>
  </si>
  <si>
    <t>КОММУНИКАЦИИ</t>
  </si>
  <si>
    <t>Коммуникации, трубопроводы, автоматика</t>
  </si>
  <si>
    <t>8-1</t>
  </si>
  <si>
    <t>АВТОМАТИЗАЦИЯ</t>
  </si>
  <si>
    <t xml:space="preserve">АСУ ТП и Д </t>
  </si>
  <si>
    <t>9-1</t>
  </si>
  <si>
    <t>ПЛОЩАДОЧНАЯ ТЕХНИКА</t>
  </si>
  <si>
    <t>Перегружатель-экскаватор  лепестковый</t>
  </si>
  <si>
    <t>Погрузчик фронтальный</t>
  </si>
  <si>
    <t>Погрузчик Bobcat S650</t>
  </si>
  <si>
    <t>10-1</t>
  </si>
  <si>
    <t>10-2</t>
  </si>
  <si>
    <t>10-3</t>
  </si>
  <si>
    <t>ДОПОЛНИТЕЛЬНОЕ ОБОРУДОВАНИЕ</t>
  </si>
  <si>
    <t>11-1</t>
  </si>
  <si>
    <t>Всего по всем разделам:</t>
  </si>
  <si>
    <t>Капитальное строительство (АБК)</t>
  </si>
  <si>
    <t>Технический директор</t>
  </si>
  <si>
    <t>Бухгалтер калькулятор</t>
  </si>
  <si>
    <t>Инженер энергетик</t>
  </si>
  <si>
    <t>Инженер УТК</t>
  </si>
  <si>
    <t>Инженер по эксплуатации зданий и сооружений</t>
  </si>
  <si>
    <t>Инженер-эколог</t>
  </si>
  <si>
    <t>Инженер кадровой службы</t>
  </si>
  <si>
    <t>Менеджер по сырьевому снабжению</t>
  </si>
  <si>
    <t>Менеджер по реализации продукции</t>
  </si>
  <si>
    <t>Мастер участка</t>
  </si>
  <si>
    <t>Оператор реакторного участка</t>
  </si>
  <si>
    <t>Оператор УТК</t>
  </si>
  <si>
    <t>Электрик УТК</t>
  </si>
  <si>
    <t>Слесарь УТК</t>
  </si>
  <si>
    <t>Машинист стационарного перегружателя</t>
  </si>
  <si>
    <t>Машинист самоходного перегружателя</t>
  </si>
  <si>
    <t>Машинист фронтального погрузчика</t>
  </si>
  <si>
    <t>Машинист мини погрузчика</t>
  </si>
  <si>
    <t>Кладовщик</t>
  </si>
  <si>
    <t xml:space="preserve">Лаборант </t>
  </si>
  <si>
    <t xml:space="preserve">Фельдшер </t>
  </si>
  <si>
    <t xml:space="preserve">Заведующий хозяйством                                   </t>
  </si>
  <si>
    <t>Заведующий столовой</t>
  </si>
  <si>
    <t xml:space="preserve">Заведующий складом                                         </t>
  </si>
  <si>
    <t>Повар общественного питания</t>
  </si>
  <si>
    <t>Кухонный рабочий</t>
  </si>
  <si>
    <t>Рабочий по зданию</t>
  </si>
  <si>
    <t xml:space="preserve">Дезинфектор </t>
  </si>
  <si>
    <t xml:space="preserve">Дворник </t>
  </si>
  <si>
    <t>Уборщик производственных и служебных помещений</t>
  </si>
  <si>
    <t>Фильтры для углекислотной станции.</t>
  </si>
  <si>
    <t>ФОТ (временный для монтажа и пуска)</t>
  </si>
  <si>
    <t>1-18</t>
  </si>
  <si>
    <t>1-19</t>
  </si>
  <si>
    <t>2-10</t>
  </si>
  <si>
    <t>Прочие (3%)</t>
  </si>
  <si>
    <t>ПИР (7%)</t>
  </si>
  <si>
    <t>1-й год</t>
  </si>
  <si>
    <t>2-й год</t>
  </si>
  <si>
    <t>3-й год</t>
  </si>
  <si>
    <t>4-й год</t>
  </si>
  <si>
    <t>5-й год</t>
  </si>
  <si>
    <t>Станция очистки пиролизного масла 50 м3</t>
  </si>
  <si>
    <t>Цистерны для хранения ГСМ 80 м3</t>
  </si>
  <si>
    <t>Станция сжижения СО2 220 кг/ч</t>
  </si>
  <si>
    <t>Емкость 250 бар для сжатого пропан/этан/бутана 2000 л</t>
  </si>
  <si>
    <t xml:space="preserve">Емкость 250 бар для сжатого синтез газа 2000 л </t>
  </si>
  <si>
    <t>Оборудование для верхнего налива ГСМ</t>
  </si>
  <si>
    <t>Насосная станция очистки пром.стоков  300л/час</t>
  </si>
  <si>
    <t>Цистерна переходная для пиролизной жидкости 20 м3</t>
  </si>
  <si>
    <t>Директор АБК</t>
  </si>
  <si>
    <t>Зам директора АБК</t>
  </si>
  <si>
    <t>Дизтопливо Евро-6</t>
  </si>
  <si>
    <t>Создание сайта</t>
  </si>
  <si>
    <t>Поддержание сайта</t>
  </si>
  <si>
    <t>Тариф на входное сырье (шины, мусор)</t>
  </si>
  <si>
    <t>DPP (без учета ставки дисконтирования) -</t>
  </si>
  <si>
    <t>Перечень оборудования</t>
  </si>
  <si>
    <t>Штатное расписание</t>
  </si>
  <si>
    <t>Получаемая продукция</t>
  </si>
  <si>
    <t>ВСЕГО за 5 лет.</t>
  </si>
  <si>
    <t>Капитальное строительство (фундаменты под обор.) 1,5%</t>
  </si>
  <si>
    <t>Капитальное строительство (ангары из сэндвичпанелей) 2,0%</t>
  </si>
  <si>
    <t xml:space="preserve">Шредер ТБО Wagner WS 70 </t>
  </si>
  <si>
    <t>Помолочный комплекс с системой аспирации в компл.</t>
  </si>
  <si>
    <t>Акцизы (~18%)</t>
  </si>
  <si>
    <t>Налоги  (~7%)</t>
  </si>
  <si>
    <t>19 мес.</t>
  </si>
  <si>
    <t>Силосный бункер 20 м3</t>
  </si>
  <si>
    <t xml:space="preserve">Шнековый  транспортер  </t>
  </si>
  <si>
    <t xml:space="preserve">КГПУ – 360 квт/400в </t>
  </si>
  <si>
    <t>Пожарный резервуар для воды 50 м3</t>
  </si>
  <si>
    <t>НПЗ-20</t>
  </si>
  <si>
    <t>Пиролизное масло</t>
  </si>
  <si>
    <t>Цистерны для пиролизной жидкости 50м3</t>
  </si>
  <si>
    <t>Пиролизный реактор 50 м3</t>
  </si>
  <si>
    <t>3-7</t>
  </si>
  <si>
    <t>40</t>
  </si>
  <si>
    <t>50</t>
  </si>
  <si>
    <t>15</t>
  </si>
  <si>
    <t>18 месяцев</t>
  </si>
  <si>
    <t>Срок изготовления -</t>
  </si>
  <si>
    <t>5-7 месяцев</t>
  </si>
  <si>
    <t>Гарантия на оригинальное оборудование -</t>
  </si>
  <si>
    <t>2 года</t>
  </si>
  <si>
    <t xml:space="preserve">Пиролизная жидкость </t>
  </si>
  <si>
    <t>I</t>
  </si>
  <si>
    <t>II</t>
  </si>
  <si>
    <t>III</t>
  </si>
  <si>
    <t>IV</t>
  </si>
  <si>
    <t>V</t>
  </si>
  <si>
    <t>VI</t>
  </si>
  <si>
    <t>ВЫХОД С ВХОДНОГО СЫРЬЯ</t>
  </si>
  <si>
    <t>Выход с пиролизной жидкости (НПЗ)</t>
  </si>
  <si>
    <t>Аварийная труба дымовая 12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</si>
</sst>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0" fillId="6" borderId="1" xfId="0" applyFill="1" applyBorder="1"/>
    <xf numFmtId="0" fontId="4" fillId="6" borderId="1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left"/>
    </xf>
    <xf numFmtId="164" fontId="0" fillId="3" borderId="1" xfId="0" applyNumberFormat="1" applyFill="1" applyBorder="1"/>
    <xf numFmtId="164" fontId="0" fillId="5" borderId="1" xfId="0" applyNumberFormat="1" applyFill="1" applyBorder="1"/>
    <xf numFmtId="164" fontId="0" fillId="6" borderId="1" xfId="0" applyNumberFormat="1" applyFill="1" applyBorder="1"/>
    <xf numFmtId="0" fontId="3" fillId="7" borderId="1" xfId="0" applyFont="1" applyFill="1" applyBorder="1"/>
    <xf numFmtId="164" fontId="0" fillId="7" borderId="1" xfId="0" applyNumberFormat="1" applyFill="1" applyBorder="1"/>
    <xf numFmtId="0" fontId="0" fillId="0" borderId="1" xfId="0" applyBorder="1"/>
    <xf numFmtId="3" fontId="0" fillId="0" borderId="1" xfId="0" applyNumberFormat="1" applyBorder="1" applyAlignment="1">
      <alignment horizontal="center"/>
    </xf>
    <xf numFmtId="3" fontId="0" fillId="0" borderId="0" xfId="0" applyNumberFormat="1"/>
    <xf numFmtId="49" fontId="0" fillId="0" borderId="1" xfId="0" applyNumberFormat="1" applyBorder="1" applyAlignment="1">
      <alignment horizontal="center"/>
    </xf>
    <xf numFmtId="164" fontId="7" fillId="3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/>
    <xf numFmtId="164" fontId="7" fillId="6" borderId="1" xfId="0" applyNumberFormat="1" applyFont="1" applyFill="1" applyBorder="1" applyAlignment="1">
      <alignment horizontal="right"/>
    </xf>
    <xf numFmtId="164" fontId="2" fillId="6" borderId="1" xfId="0" applyNumberFormat="1" applyFont="1" applyFill="1" applyBorder="1"/>
    <xf numFmtId="164" fontId="2" fillId="7" borderId="1" xfId="0" applyNumberFormat="1" applyFont="1" applyFill="1" applyBorder="1"/>
    <xf numFmtId="164" fontId="2" fillId="6" borderId="1" xfId="0" applyNumberFormat="1" applyFont="1" applyFill="1" applyBorder="1" applyAlignment="1">
      <alignment horizontal="left"/>
    </xf>
    <xf numFmtId="164" fontId="0" fillId="4" borderId="1" xfId="0" applyNumberFormat="1" applyFill="1" applyBorder="1"/>
    <xf numFmtId="0" fontId="0" fillId="0" borderId="1" xfId="0" applyBorder="1" applyAlignment="1">
      <alignment horizontal="right"/>
    </xf>
    <xf numFmtId="164" fontId="3" fillId="4" borderId="1" xfId="0" applyNumberFormat="1" applyFont="1" applyFill="1" applyBorder="1"/>
    <xf numFmtId="0" fontId="8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6" borderId="1" xfId="0" applyFill="1" applyBorder="1" applyAlignment="1">
      <alignment horizontal="center"/>
    </xf>
    <xf numFmtId="49" fontId="0" fillId="8" borderId="1" xfId="0" applyNumberFormat="1" applyFill="1" applyBorder="1" applyAlignment="1">
      <alignment horizontal="center" vertical="center" wrapText="1"/>
    </xf>
    <xf numFmtId="49" fontId="0" fillId="9" borderId="1" xfId="0" applyNumberFormat="1" applyFill="1" applyBorder="1" applyAlignment="1">
      <alignment horizontal="center" vertical="center" wrapText="1"/>
    </xf>
    <xf numFmtId="0" fontId="1" fillId="6" borderId="1" xfId="0" applyFont="1" applyFill="1" applyBorder="1"/>
    <xf numFmtId="49" fontId="0" fillId="0" borderId="1" xfId="0" applyNumberForma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right"/>
    </xf>
    <xf numFmtId="0" fontId="0" fillId="9" borderId="1" xfId="0" applyFill="1" applyBorder="1"/>
    <xf numFmtId="164" fontId="0" fillId="9" borderId="1" xfId="0" applyNumberFormat="1" applyFill="1" applyBorder="1"/>
    <xf numFmtId="49" fontId="0" fillId="9" borderId="1" xfId="0" applyNumberForma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right"/>
    </xf>
    <xf numFmtId="0" fontId="1" fillId="9" borderId="1" xfId="0" applyFon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64" fontId="9" fillId="9" borderId="1" xfId="0" applyNumberFormat="1" applyFont="1" applyFill="1" applyBorder="1" applyAlignment="1">
      <alignment horizontal="right"/>
    </xf>
    <xf numFmtId="0" fontId="3" fillId="9" borderId="1" xfId="0" applyFont="1" applyFill="1" applyBorder="1"/>
    <xf numFmtId="164" fontId="3" fillId="9" borderId="1" xfId="0" applyNumberFormat="1" applyFont="1" applyFill="1" applyBorder="1"/>
    <xf numFmtId="164" fontId="0" fillId="9" borderId="0" xfId="0" applyNumberFormat="1" applyFill="1"/>
    <xf numFmtId="0" fontId="0" fillId="2" borderId="2" xfId="0" applyFill="1" applyBorder="1" applyAlignment="1">
      <alignment horizontal="center" vertical="center"/>
    </xf>
    <xf numFmtId="164" fontId="0" fillId="9" borderId="2" xfId="0" applyNumberFormat="1" applyFill="1" applyBorder="1"/>
    <xf numFmtId="164" fontId="0" fillId="3" borderId="2" xfId="0" applyNumberFormat="1" applyFill="1" applyBorder="1"/>
    <xf numFmtId="164" fontId="0" fillId="5" borderId="2" xfId="0" applyNumberFormat="1" applyFill="1" applyBorder="1"/>
    <xf numFmtId="164" fontId="0" fillId="6" borderId="2" xfId="0" applyNumberFormat="1" applyFill="1" applyBorder="1"/>
    <xf numFmtId="164" fontId="0" fillId="7" borderId="2" xfId="0" applyNumberForma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0" fillId="0" borderId="1" xfId="0" applyFont="1" applyBorder="1"/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1" borderId="1" xfId="0" applyFill="1" applyBorder="1" applyAlignment="1">
      <alignment horizontal="center"/>
    </xf>
    <xf numFmtId="0" fontId="0" fillId="11" borderId="1" xfId="0" applyFill="1" applyBorder="1"/>
    <xf numFmtId="0" fontId="0" fillId="12" borderId="1" xfId="0" applyFill="1" applyBorder="1" applyAlignment="1">
      <alignment horizontal="center"/>
    </xf>
    <xf numFmtId="0" fontId="0" fillId="12" borderId="1" xfId="0" applyFill="1" applyBorder="1"/>
    <xf numFmtId="49" fontId="13" fillId="9" borderId="1" xfId="0" applyNumberFormat="1" applyFont="1" applyFill="1" applyBorder="1" applyAlignment="1">
      <alignment horizontal="center" vertical="center" wrapText="1"/>
    </xf>
    <xf numFmtId="49" fontId="13" fillId="11" borderId="1" xfId="0" applyNumberFormat="1" applyFont="1" applyFill="1" applyBorder="1" applyAlignment="1">
      <alignment horizontal="center"/>
    </xf>
    <xf numFmtId="49" fontId="14" fillId="11" borderId="1" xfId="0" applyNumberFormat="1" applyFont="1" applyFill="1" applyBorder="1" applyAlignment="1">
      <alignment horizontal="center"/>
    </xf>
    <xf numFmtId="3" fontId="13" fillId="11" borderId="1" xfId="0" applyNumberFormat="1" applyFont="1" applyFill="1" applyBorder="1" applyAlignment="1">
      <alignment horizontal="center"/>
    </xf>
    <xf numFmtId="3" fontId="15" fillId="12" borderId="1" xfId="0" applyNumberFormat="1" applyFont="1" applyFill="1" applyBorder="1" applyAlignment="1">
      <alignment horizontal="center"/>
    </xf>
    <xf numFmtId="3" fontId="13" fillId="12" borderId="1" xfId="0" applyNumberFormat="1" applyFont="1" applyFill="1" applyBorder="1" applyAlignment="1">
      <alignment horizontal="center"/>
    </xf>
    <xf numFmtId="3" fontId="13" fillId="10" borderId="1" xfId="0" applyNumberFormat="1" applyFont="1" applyFill="1" applyBorder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0" fillId="8" borderId="1" xfId="0" applyNumberFormat="1" applyFill="1" applyBorder="1" applyAlignment="1">
      <alignment horizontal="center"/>
    </xf>
    <xf numFmtId="0" fontId="13" fillId="8" borderId="1" xfId="0" applyFont="1" applyFill="1" applyBorder="1" applyAlignment="1">
      <alignment horizontal="center"/>
    </xf>
    <xf numFmtId="0" fontId="13" fillId="8" borderId="1" xfId="0" applyFont="1" applyFill="1" applyBorder="1"/>
    <xf numFmtId="0" fontId="13" fillId="12" borderId="1" xfId="0" applyFont="1" applyFill="1" applyBorder="1"/>
    <xf numFmtId="3" fontId="13" fillId="8" borderId="1" xfId="0" applyNumberFormat="1" applyFont="1" applyFill="1" applyBorder="1" applyAlignment="1">
      <alignment horizontal="center"/>
    </xf>
    <xf numFmtId="49" fontId="13" fillId="8" borderId="1" xfId="0" applyNumberFormat="1" applyFont="1" applyFill="1" applyBorder="1" applyAlignment="1">
      <alignment horizontal="center"/>
    </xf>
    <xf numFmtId="49" fontId="13" fillId="12" borderId="1" xfId="0" applyNumberFormat="1" applyFont="1" applyFill="1" applyBorder="1" applyAlignment="1">
      <alignment horizontal="center"/>
    </xf>
    <xf numFmtId="49" fontId="13" fillId="10" borderId="1" xfId="0" applyNumberFormat="1" applyFont="1" applyFill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showGridLines="0" zoomScaleNormal="100" workbookViewId="0"/>
  </sheetViews>
  <sheetFormatPr defaultRowHeight="15" x14ac:dyDescent="0.25"/>
  <cols>
    <col min="1" max="1" width="4.140625" bestFit="1" customWidth="1"/>
    <col min="2" max="2" width="48.85546875" bestFit="1" customWidth="1"/>
    <col min="3" max="3" width="14.42578125" bestFit="1" customWidth="1"/>
    <col min="4" max="4" width="12.85546875" bestFit="1" customWidth="1"/>
    <col min="5" max="5" width="11.42578125" bestFit="1" customWidth="1"/>
    <col min="6" max="9" width="12.85546875" bestFit="1" customWidth="1"/>
  </cols>
  <sheetData>
    <row r="1" spans="1:9" x14ac:dyDescent="0.25">
      <c r="B1" t="s">
        <v>110</v>
      </c>
    </row>
    <row r="2" spans="1:9" ht="21.6" customHeight="1" x14ac:dyDescent="0.25">
      <c r="A2" s="1" t="s">
        <v>0</v>
      </c>
      <c r="B2" s="2" t="s">
        <v>1</v>
      </c>
      <c r="C2" s="2" t="s">
        <v>89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</row>
    <row r="3" spans="1:9" ht="15.75" x14ac:dyDescent="0.25">
      <c r="A3" s="3" t="s">
        <v>21</v>
      </c>
      <c r="B3" s="7" t="s">
        <v>20</v>
      </c>
      <c r="C3" s="30">
        <f t="shared" ref="C3:I3" si="0">SUM(C4:C22)</f>
        <v>141846150</v>
      </c>
      <c r="D3" s="28">
        <f t="shared" si="0"/>
        <v>67945000</v>
      </c>
      <c r="E3" s="28">
        <f t="shared" si="0"/>
        <v>0</v>
      </c>
      <c r="F3" s="28">
        <f t="shared" si="0"/>
        <v>34991675</v>
      </c>
      <c r="G3" s="28">
        <f t="shared" si="0"/>
        <v>36650575</v>
      </c>
      <c r="H3" s="28">
        <f t="shared" si="0"/>
        <v>1858900</v>
      </c>
      <c r="I3" s="28">
        <f t="shared" si="0"/>
        <v>400000</v>
      </c>
    </row>
    <row r="4" spans="1:9" x14ac:dyDescent="0.25">
      <c r="A4" s="4" t="s">
        <v>22</v>
      </c>
      <c r="B4" s="6" t="s">
        <v>34</v>
      </c>
      <c r="C4" s="22">
        <f t="shared" ref="C4:C22" si="1">SUM(D4:I4)</f>
        <v>135890000</v>
      </c>
      <c r="D4" s="13">
        <f>Оборудование!$F$70/2</f>
        <v>67945000</v>
      </c>
      <c r="E4" s="13"/>
      <c r="F4" s="13">
        <f>Оборудование!$F$70/4</f>
        <v>33972500</v>
      </c>
      <c r="G4" s="13">
        <f>Оборудование!$F$70/4</f>
        <v>33972500</v>
      </c>
      <c r="H4" s="13"/>
      <c r="I4" s="13"/>
    </row>
    <row r="5" spans="1:9" x14ac:dyDescent="0.25">
      <c r="A5" s="4" t="s">
        <v>23</v>
      </c>
      <c r="B5" s="6" t="s">
        <v>35</v>
      </c>
      <c r="C5" s="22">
        <f t="shared" si="1"/>
        <v>0</v>
      </c>
      <c r="D5" s="13"/>
      <c r="E5" s="13"/>
      <c r="F5" s="13"/>
      <c r="G5" s="13"/>
      <c r="H5" s="13"/>
      <c r="I5" s="13"/>
    </row>
    <row r="6" spans="1:9" x14ac:dyDescent="0.25">
      <c r="A6" s="4" t="s">
        <v>24</v>
      </c>
      <c r="B6" s="6" t="s">
        <v>266</v>
      </c>
      <c r="C6" s="22">
        <f t="shared" si="1"/>
        <v>0</v>
      </c>
      <c r="D6" s="13"/>
      <c r="E6" s="13"/>
      <c r="F6" s="13"/>
      <c r="G6" s="13"/>
      <c r="H6" s="13"/>
      <c r="I6" s="13"/>
    </row>
    <row r="7" spans="1:9" x14ac:dyDescent="0.25">
      <c r="A7" s="4" t="s">
        <v>25</v>
      </c>
      <c r="B7" s="6" t="s">
        <v>36</v>
      </c>
      <c r="C7" s="22">
        <f t="shared" si="1"/>
        <v>0</v>
      </c>
      <c r="D7" s="13"/>
      <c r="E7" s="13"/>
      <c r="F7" s="13"/>
      <c r="G7" s="13"/>
      <c r="H7" s="13"/>
      <c r="I7" s="13"/>
    </row>
    <row r="8" spans="1:9" x14ac:dyDescent="0.25">
      <c r="A8" s="4" t="s">
        <v>26</v>
      </c>
      <c r="B8" s="6" t="s">
        <v>244</v>
      </c>
      <c r="C8" s="22">
        <f t="shared" si="1"/>
        <v>1200000</v>
      </c>
      <c r="D8" s="13"/>
      <c r="E8" s="13"/>
      <c r="F8" s="13"/>
      <c r="G8" s="13">
        <v>300000</v>
      </c>
      <c r="H8" s="13">
        <v>500000</v>
      </c>
      <c r="I8" s="13">
        <v>400000</v>
      </c>
    </row>
    <row r="9" spans="1:9" x14ac:dyDescent="0.25">
      <c r="A9" s="4" t="s">
        <v>27</v>
      </c>
      <c r="B9" s="6" t="s">
        <v>39</v>
      </c>
      <c r="C9" s="22">
        <f t="shared" si="1"/>
        <v>0</v>
      </c>
      <c r="D9" s="13"/>
      <c r="E9" s="13"/>
      <c r="F9" s="13"/>
      <c r="G9" s="13"/>
      <c r="H9" s="13"/>
      <c r="I9" s="13"/>
    </row>
    <row r="10" spans="1:9" x14ac:dyDescent="0.25">
      <c r="A10" s="4" t="s">
        <v>28</v>
      </c>
      <c r="B10" s="6" t="s">
        <v>116</v>
      </c>
      <c r="C10" s="22">
        <f t="shared" si="1"/>
        <v>0</v>
      </c>
      <c r="D10" s="13"/>
      <c r="E10" s="13"/>
      <c r="F10" s="13"/>
      <c r="G10" s="13"/>
      <c r="H10" s="13"/>
      <c r="I10" s="13"/>
    </row>
    <row r="11" spans="1:9" x14ac:dyDescent="0.25">
      <c r="A11" s="4" t="s">
        <v>29</v>
      </c>
      <c r="B11" s="6" t="s">
        <v>40</v>
      </c>
      <c r="C11" s="22">
        <f t="shared" si="1"/>
        <v>0</v>
      </c>
      <c r="D11" s="13"/>
      <c r="E11" s="13"/>
      <c r="F11" s="13"/>
      <c r="G11" s="13"/>
      <c r="H11" s="13"/>
      <c r="I11" s="13"/>
    </row>
    <row r="12" spans="1:9" x14ac:dyDescent="0.25">
      <c r="A12" s="4" t="s">
        <v>30</v>
      </c>
      <c r="B12" s="6" t="s">
        <v>41</v>
      </c>
      <c r="C12" s="22">
        <f t="shared" si="1"/>
        <v>0</v>
      </c>
      <c r="D12" s="13"/>
      <c r="E12" s="13"/>
      <c r="F12" s="13"/>
      <c r="G12" s="13"/>
      <c r="H12" s="13"/>
      <c r="I12" s="13"/>
    </row>
    <row r="13" spans="1:9" x14ac:dyDescent="0.25">
      <c r="A13" s="4" t="s">
        <v>31</v>
      </c>
      <c r="B13" s="6" t="s">
        <v>42</v>
      </c>
      <c r="C13" s="22">
        <f t="shared" si="1"/>
        <v>0</v>
      </c>
      <c r="D13" s="13"/>
      <c r="E13" s="13"/>
      <c r="F13" s="13"/>
      <c r="G13" s="13"/>
      <c r="H13" s="13"/>
      <c r="I13" s="13"/>
    </row>
    <row r="14" spans="1:9" x14ac:dyDescent="0.25">
      <c r="A14" s="4" t="s">
        <v>32</v>
      </c>
      <c r="B14" s="6" t="s">
        <v>212</v>
      </c>
      <c r="C14" s="22">
        <f t="shared" si="1"/>
        <v>0</v>
      </c>
      <c r="D14" s="13"/>
      <c r="E14" s="13"/>
      <c r="F14" s="13"/>
      <c r="G14" s="13"/>
      <c r="H14" s="13"/>
      <c r="I14" s="13"/>
    </row>
    <row r="15" spans="1:9" x14ac:dyDescent="0.25">
      <c r="A15" s="4" t="s">
        <v>33</v>
      </c>
      <c r="B15" s="6" t="s">
        <v>274</v>
      </c>
      <c r="C15" s="22">
        <f t="shared" si="1"/>
        <v>2038350</v>
      </c>
      <c r="D15" s="13"/>
      <c r="E15" s="13"/>
      <c r="F15" s="13">
        <f>$C$4*0.015/2</f>
        <v>1019175</v>
      </c>
      <c r="G15" s="13">
        <f>$C$4*0.015/2</f>
        <v>1019175</v>
      </c>
      <c r="H15" s="13"/>
      <c r="I15" s="13"/>
    </row>
    <row r="16" spans="1:9" x14ac:dyDescent="0.25">
      <c r="A16" s="4" t="s">
        <v>47</v>
      </c>
      <c r="B16" s="6" t="s">
        <v>275</v>
      </c>
      <c r="C16" s="22">
        <f t="shared" si="1"/>
        <v>2717800</v>
      </c>
      <c r="D16" s="13"/>
      <c r="E16" s="13"/>
      <c r="F16" s="13"/>
      <c r="G16" s="13">
        <f>$C$4*0.02/2</f>
        <v>1358900</v>
      </c>
      <c r="H16" s="13">
        <f>$C$4*0.02/2</f>
        <v>1358900</v>
      </c>
      <c r="I16" s="13"/>
    </row>
    <row r="17" spans="1:9" x14ac:dyDescent="0.25">
      <c r="A17" s="4" t="s">
        <v>48</v>
      </c>
      <c r="B17" s="6" t="s">
        <v>249</v>
      </c>
      <c r="C17" s="22">
        <f t="shared" si="1"/>
        <v>0</v>
      </c>
      <c r="D17" s="13"/>
      <c r="E17" s="13"/>
      <c r="F17" s="13"/>
      <c r="G17" s="13"/>
      <c r="H17" s="13"/>
      <c r="I17" s="13"/>
    </row>
    <row r="18" spans="1:9" x14ac:dyDescent="0.25">
      <c r="A18" s="4" t="s">
        <v>49</v>
      </c>
      <c r="B18" s="6" t="s">
        <v>73</v>
      </c>
      <c r="C18" s="22">
        <f t="shared" si="1"/>
        <v>0</v>
      </c>
      <c r="D18" s="13"/>
      <c r="E18" s="13"/>
      <c r="F18" s="13"/>
      <c r="G18" s="13"/>
      <c r="H18" s="13"/>
      <c r="I18" s="13"/>
    </row>
    <row r="19" spans="1:9" x14ac:dyDescent="0.25">
      <c r="A19" s="4" t="s">
        <v>50</v>
      </c>
      <c r="B19" s="6" t="s">
        <v>43</v>
      </c>
      <c r="C19" s="22">
        <f t="shared" si="1"/>
        <v>0</v>
      </c>
      <c r="D19" s="13"/>
      <c r="E19" s="13"/>
      <c r="F19" s="13"/>
      <c r="G19" s="13"/>
      <c r="H19" s="13"/>
      <c r="I19" s="13"/>
    </row>
    <row r="20" spans="1:9" x14ac:dyDescent="0.25">
      <c r="A20" s="4" t="s">
        <v>51</v>
      </c>
      <c r="B20" s="6" t="s">
        <v>44</v>
      </c>
      <c r="C20" s="22">
        <f t="shared" si="1"/>
        <v>0</v>
      </c>
      <c r="D20" s="13"/>
      <c r="E20" s="13"/>
      <c r="F20" s="13"/>
      <c r="G20" s="13"/>
      <c r="H20" s="13"/>
      <c r="I20" s="13"/>
    </row>
    <row r="21" spans="1:9" x14ac:dyDescent="0.25">
      <c r="A21" s="4" t="s">
        <v>245</v>
      </c>
      <c r="B21" s="6" t="s">
        <v>67</v>
      </c>
      <c r="C21" s="22">
        <f t="shared" si="1"/>
        <v>0</v>
      </c>
      <c r="D21" s="13"/>
      <c r="E21" s="13"/>
      <c r="F21" s="13"/>
      <c r="G21" s="13"/>
      <c r="H21" s="13"/>
      <c r="I21" s="13"/>
    </row>
    <row r="22" spans="1:9" x14ac:dyDescent="0.25">
      <c r="A22" s="4" t="s">
        <v>246</v>
      </c>
      <c r="B22" s="6" t="s">
        <v>248</v>
      </c>
      <c r="C22" s="22">
        <f t="shared" si="1"/>
        <v>0</v>
      </c>
      <c r="D22" s="13"/>
      <c r="E22" s="13"/>
      <c r="F22" s="13"/>
      <c r="G22" s="13"/>
      <c r="H22" s="13"/>
      <c r="I22" s="13"/>
    </row>
    <row r="23" spans="1:9" x14ac:dyDescent="0.25">
      <c r="A23" s="4"/>
      <c r="B23" s="11"/>
      <c r="C23" s="24"/>
      <c r="D23" s="15"/>
      <c r="E23" s="15"/>
      <c r="F23" s="15"/>
      <c r="G23" s="15"/>
      <c r="H23" s="15"/>
      <c r="I23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7"/>
  <sheetViews>
    <sheetView showGridLines="0" zoomScale="80" zoomScaleNormal="80" workbookViewId="0"/>
  </sheetViews>
  <sheetFormatPr defaultRowHeight="15" outlineLevelRow="1" outlineLevelCol="1" x14ac:dyDescent="0.25"/>
  <cols>
    <col min="1" max="1" width="4.140625" bestFit="1" customWidth="1"/>
    <col min="2" max="2" width="53" bestFit="1" customWidth="1"/>
    <col min="3" max="3" width="14.42578125" customWidth="1" outlineLevel="1"/>
    <col min="4" max="4" width="12.85546875" customWidth="1" outlineLevel="1"/>
    <col min="5" max="5" width="12" customWidth="1" outlineLevel="1"/>
    <col min="6" max="14" width="12.85546875" customWidth="1" outlineLevel="1"/>
    <col min="15" max="22" width="13.85546875" customWidth="1" outlineLevel="1"/>
    <col min="23" max="23" width="3" customWidth="1"/>
    <col min="24" max="24" width="13.5703125" bestFit="1" customWidth="1"/>
    <col min="25" max="28" width="14.5703125" bestFit="1" customWidth="1"/>
    <col min="29" max="29" width="15.5703125" customWidth="1"/>
  </cols>
  <sheetData>
    <row r="1" spans="1:29" x14ac:dyDescent="0.25">
      <c r="B1" t="s">
        <v>111</v>
      </c>
    </row>
    <row r="2" spans="1:29" ht="21.6" customHeight="1" x14ac:dyDescent="0.25">
      <c r="A2" s="1" t="s">
        <v>0</v>
      </c>
      <c r="B2" s="2" t="s">
        <v>1</v>
      </c>
      <c r="C2" s="2" t="s">
        <v>89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  <c r="U2" s="2" t="s">
        <v>19</v>
      </c>
      <c r="V2" s="2" t="s">
        <v>280</v>
      </c>
      <c r="W2" s="18"/>
      <c r="X2" s="59" t="s">
        <v>250</v>
      </c>
      <c r="Y2" s="2" t="s">
        <v>251</v>
      </c>
      <c r="Z2" s="2" t="s">
        <v>252</v>
      </c>
      <c r="AA2" s="2" t="s">
        <v>253</v>
      </c>
      <c r="AB2" s="2" t="s">
        <v>254</v>
      </c>
      <c r="AC2" s="2" t="s">
        <v>273</v>
      </c>
    </row>
    <row r="3" spans="1:29" ht="15.75" x14ac:dyDescent="0.25">
      <c r="A3" s="3" t="s">
        <v>21</v>
      </c>
      <c r="B3" s="56" t="s">
        <v>20</v>
      </c>
      <c r="C3" s="57">
        <f>SUM(C4:C22)</f>
        <v>61865465.833333328</v>
      </c>
      <c r="D3" s="50">
        <f t="shared" ref="D3:V3" si="0">SUM(D4:D22)</f>
        <v>1783933.3333333335</v>
      </c>
      <c r="E3" s="50">
        <f t="shared" si="0"/>
        <v>1867600.0000000002</v>
      </c>
      <c r="F3" s="50">
        <f t="shared" si="0"/>
        <v>2525533.333333333</v>
      </c>
      <c r="G3" s="50">
        <f t="shared" si="0"/>
        <v>2835933.333333333</v>
      </c>
      <c r="H3" s="50">
        <f t="shared" si="0"/>
        <v>3230693.333333333</v>
      </c>
      <c r="I3" s="50">
        <f t="shared" si="0"/>
        <v>3369333.333333333</v>
      </c>
      <c r="J3" s="50">
        <f t="shared" si="0"/>
        <v>3749333.333333333</v>
      </c>
      <c r="K3" s="50">
        <f t="shared" si="0"/>
        <v>3369333.333333333</v>
      </c>
      <c r="L3" s="50">
        <f t="shared" si="0"/>
        <v>3369333.333333333</v>
      </c>
      <c r="M3" s="50">
        <f t="shared" si="0"/>
        <v>3369333.333333333</v>
      </c>
      <c r="N3" s="50">
        <f t="shared" si="0"/>
        <v>3369333.333333333</v>
      </c>
      <c r="O3" s="50">
        <f t="shared" si="0"/>
        <v>3369333.333333333</v>
      </c>
      <c r="P3" s="50">
        <f t="shared" si="0"/>
        <v>3369333.333333333</v>
      </c>
      <c r="Q3" s="50">
        <f t="shared" si="0"/>
        <v>3369333.333333333</v>
      </c>
      <c r="R3" s="50">
        <f t="shared" si="0"/>
        <v>3749333.333333333</v>
      </c>
      <c r="S3" s="50">
        <f t="shared" si="0"/>
        <v>3369333.333333333</v>
      </c>
      <c r="T3" s="50">
        <f t="shared" si="0"/>
        <v>3369333.333333333</v>
      </c>
      <c r="U3" s="50">
        <f t="shared" si="0"/>
        <v>5060439.166666667</v>
      </c>
      <c r="V3" s="50">
        <f t="shared" si="0"/>
        <v>3369333.333333333</v>
      </c>
      <c r="W3" s="65"/>
      <c r="X3" s="60">
        <f>SUM(X4:X22)</f>
        <v>36209026.666666672</v>
      </c>
      <c r="Y3" s="50">
        <f t="shared" ref="Y3:AB3" si="1">SUM(Y4:Y22)</f>
        <v>51312878.333333336</v>
      </c>
      <c r="Z3" s="50">
        <f t="shared" si="1"/>
        <v>51312878.333333336</v>
      </c>
      <c r="AA3" s="50">
        <f t="shared" si="1"/>
        <v>51312878.333333336</v>
      </c>
      <c r="AB3" s="50">
        <f t="shared" si="1"/>
        <v>51312878.333333336</v>
      </c>
      <c r="AC3" s="50">
        <f>SUM(X3:AB3)</f>
        <v>241460540.00000003</v>
      </c>
    </row>
    <row r="4" spans="1:29" outlineLevel="1" x14ac:dyDescent="0.25">
      <c r="A4" s="4" t="s">
        <v>22</v>
      </c>
      <c r="B4" s="6" t="s">
        <v>267</v>
      </c>
      <c r="C4" s="22">
        <f t="shared" ref="C4:C22" si="2">SUM(D4:V4)</f>
        <v>0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7"/>
      <c r="S4" s="13"/>
      <c r="T4" s="13"/>
      <c r="U4" s="13"/>
      <c r="V4" s="13"/>
      <c r="W4" s="68"/>
      <c r="X4" s="61">
        <f t="shared" ref="X4:X22" si="3">SUM(D4:O4)</f>
        <v>0</v>
      </c>
      <c r="Y4" s="13">
        <f>SUM(P4:V4)*2</f>
        <v>0</v>
      </c>
      <c r="Z4" s="13">
        <f>Y4</f>
        <v>0</v>
      </c>
      <c r="AA4" s="13">
        <f t="shared" ref="AA4:AB4" si="4">Z4</f>
        <v>0</v>
      </c>
      <c r="AB4" s="13">
        <f t="shared" si="4"/>
        <v>0</v>
      </c>
      <c r="AC4" s="13">
        <f>SUM(X4:AB4)</f>
        <v>0</v>
      </c>
    </row>
    <row r="5" spans="1:29" outlineLevel="1" x14ac:dyDescent="0.25">
      <c r="A5" s="4" t="s">
        <v>23</v>
      </c>
      <c r="B5" s="6" t="s">
        <v>36</v>
      </c>
      <c r="C5" s="22">
        <f t="shared" si="2"/>
        <v>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7"/>
      <c r="S5" s="13"/>
      <c r="T5" s="13"/>
      <c r="U5" s="13"/>
      <c r="V5" s="13"/>
      <c r="W5" s="68"/>
      <c r="X5" s="61">
        <f t="shared" si="3"/>
        <v>0</v>
      </c>
      <c r="Y5" s="13">
        <f t="shared" ref="Y5:Y22" si="5">SUM(P5:V5)*2</f>
        <v>0</v>
      </c>
      <c r="Z5" s="13">
        <f t="shared" ref="Z5:AB22" si="6">Y5</f>
        <v>0</v>
      </c>
      <c r="AA5" s="13">
        <f t="shared" si="6"/>
        <v>0</v>
      </c>
      <c r="AB5" s="13">
        <f t="shared" si="6"/>
        <v>0</v>
      </c>
      <c r="AC5" s="13">
        <f t="shared" ref="AC5:AC22" si="7">SUM(X5:AB5)</f>
        <v>0</v>
      </c>
    </row>
    <row r="6" spans="1:29" outlineLevel="1" x14ac:dyDescent="0.25">
      <c r="A6" s="4" t="s">
        <v>24</v>
      </c>
      <c r="B6" s="6" t="s">
        <v>37</v>
      </c>
      <c r="C6" s="22">
        <f t="shared" si="2"/>
        <v>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7"/>
      <c r="S6" s="13"/>
      <c r="T6" s="13"/>
      <c r="U6" s="13"/>
      <c r="V6" s="13"/>
      <c r="W6" s="68"/>
      <c r="X6" s="61">
        <f t="shared" si="3"/>
        <v>0</v>
      </c>
      <c r="Y6" s="13">
        <f t="shared" si="5"/>
        <v>0</v>
      </c>
      <c r="Z6" s="13">
        <f t="shared" si="6"/>
        <v>0</v>
      </c>
      <c r="AA6" s="13">
        <f t="shared" si="6"/>
        <v>0</v>
      </c>
      <c r="AB6" s="13">
        <f t="shared" si="6"/>
        <v>0</v>
      </c>
      <c r="AC6" s="13">
        <f t="shared" si="7"/>
        <v>0</v>
      </c>
    </row>
    <row r="7" spans="1:29" outlineLevel="1" x14ac:dyDescent="0.25">
      <c r="A7" s="4" t="s">
        <v>25</v>
      </c>
      <c r="B7" s="6" t="s">
        <v>52</v>
      </c>
      <c r="C7" s="22">
        <f t="shared" si="2"/>
        <v>44091000</v>
      </c>
      <c r="D7" s="13">
        <f>'Штатное расписание'!$F$46/3</f>
        <v>820000</v>
      </c>
      <c r="E7" s="13">
        <f>'Штатное расписание'!$F$46/2</f>
        <v>1230000</v>
      </c>
      <c r="F7" s="13">
        <f>'Штатное расписание'!$F$46*0.75</f>
        <v>1845000</v>
      </c>
      <c r="G7" s="13">
        <f>'Штатное расписание'!$F$46*0.85</f>
        <v>2091000</v>
      </c>
      <c r="H7" s="13">
        <f>'Штатное расписание'!$F$46</f>
        <v>2460000</v>
      </c>
      <c r="I7" s="13">
        <f>'Штатное расписание'!$F$46</f>
        <v>2460000</v>
      </c>
      <c r="J7" s="13">
        <f>'Штатное расписание'!$F$46</f>
        <v>2460000</v>
      </c>
      <c r="K7" s="13">
        <f>'Штатное расписание'!$F$46</f>
        <v>2460000</v>
      </c>
      <c r="L7" s="13">
        <f>'Штатное расписание'!$F$46</f>
        <v>2460000</v>
      </c>
      <c r="M7" s="13">
        <f>'Штатное расписание'!$F$46</f>
        <v>2460000</v>
      </c>
      <c r="N7" s="13">
        <f>'Штатное расписание'!$F$46</f>
        <v>2460000</v>
      </c>
      <c r="O7" s="13">
        <f>'Штатное расписание'!$F$46</f>
        <v>2460000</v>
      </c>
      <c r="P7" s="13">
        <f>'Штатное расписание'!$F$46</f>
        <v>2460000</v>
      </c>
      <c r="Q7" s="13">
        <f>'Штатное расписание'!$F$46</f>
        <v>2460000</v>
      </c>
      <c r="R7" s="17">
        <f>'Штатное расписание'!$F$46</f>
        <v>2460000</v>
      </c>
      <c r="S7" s="13">
        <f>'Штатное расписание'!$F$46</f>
        <v>2460000</v>
      </c>
      <c r="T7" s="13">
        <f>'Штатное расписание'!$F$46</f>
        <v>2460000</v>
      </c>
      <c r="U7" s="13">
        <v>3665000</v>
      </c>
      <c r="V7" s="13">
        <f>'Штатное расписание'!$F$46</f>
        <v>2460000</v>
      </c>
      <c r="W7" s="68"/>
      <c r="X7" s="61">
        <f t="shared" si="3"/>
        <v>25666000</v>
      </c>
      <c r="Y7" s="13">
        <f t="shared" si="5"/>
        <v>36850000</v>
      </c>
      <c r="Z7" s="13">
        <f t="shared" si="6"/>
        <v>36850000</v>
      </c>
      <c r="AA7" s="13">
        <f t="shared" si="6"/>
        <v>36850000</v>
      </c>
      <c r="AB7" s="13">
        <f t="shared" si="6"/>
        <v>36850000</v>
      </c>
      <c r="AC7" s="13">
        <f t="shared" si="7"/>
        <v>173066000</v>
      </c>
    </row>
    <row r="8" spans="1:29" outlineLevel="1" x14ac:dyDescent="0.25">
      <c r="A8" s="4" t="s">
        <v>26</v>
      </c>
      <c r="B8" s="6" t="s">
        <v>38</v>
      </c>
      <c r="C8" s="22">
        <f t="shared" si="2"/>
        <v>950000</v>
      </c>
      <c r="D8" s="13">
        <v>50000</v>
      </c>
      <c r="E8" s="13">
        <v>50000</v>
      </c>
      <c r="F8" s="13">
        <v>50000</v>
      </c>
      <c r="G8" s="13">
        <v>50000</v>
      </c>
      <c r="H8" s="13">
        <v>50000</v>
      </c>
      <c r="I8" s="13">
        <v>50000</v>
      </c>
      <c r="J8" s="13">
        <v>50000</v>
      </c>
      <c r="K8" s="13">
        <v>50000</v>
      </c>
      <c r="L8" s="13">
        <v>50000</v>
      </c>
      <c r="M8" s="13">
        <v>50000</v>
      </c>
      <c r="N8" s="13">
        <v>50000</v>
      </c>
      <c r="O8" s="13">
        <v>50000</v>
      </c>
      <c r="P8" s="13">
        <v>50000</v>
      </c>
      <c r="Q8" s="13">
        <v>50000</v>
      </c>
      <c r="R8" s="17">
        <v>50000</v>
      </c>
      <c r="S8" s="13">
        <v>50000</v>
      </c>
      <c r="T8" s="13">
        <v>50000</v>
      </c>
      <c r="U8" s="13">
        <v>50000</v>
      </c>
      <c r="V8" s="13">
        <v>50000</v>
      </c>
      <c r="W8" s="68"/>
      <c r="X8" s="61">
        <f t="shared" si="3"/>
        <v>600000</v>
      </c>
      <c r="Y8" s="13">
        <f t="shared" si="5"/>
        <v>700000</v>
      </c>
      <c r="Z8" s="13">
        <f t="shared" si="6"/>
        <v>700000</v>
      </c>
      <c r="AA8" s="13">
        <f t="shared" si="6"/>
        <v>700000</v>
      </c>
      <c r="AB8" s="13">
        <f t="shared" si="6"/>
        <v>700000</v>
      </c>
      <c r="AC8" s="13">
        <f t="shared" si="7"/>
        <v>3400000</v>
      </c>
    </row>
    <row r="9" spans="1:29" outlineLevel="1" x14ac:dyDescent="0.25">
      <c r="A9" s="4" t="s">
        <v>27</v>
      </c>
      <c r="B9" s="6" t="s">
        <v>112</v>
      </c>
      <c r="C9" s="22">
        <f t="shared" si="2"/>
        <v>0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7"/>
      <c r="S9" s="13"/>
      <c r="T9" s="13"/>
      <c r="U9" s="13"/>
      <c r="V9" s="13"/>
      <c r="W9" s="68"/>
      <c r="X9" s="61">
        <f t="shared" si="3"/>
        <v>0</v>
      </c>
      <c r="Y9" s="13">
        <f t="shared" si="5"/>
        <v>0</v>
      </c>
      <c r="Z9" s="13">
        <f t="shared" si="6"/>
        <v>0</v>
      </c>
      <c r="AA9" s="13">
        <f t="shared" si="6"/>
        <v>0</v>
      </c>
      <c r="AB9" s="13">
        <f t="shared" si="6"/>
        <v>0</v>
      </c>
      <c r="AC9" s="13">
        <f t="shared" si="7"/>
        <v>0</v>
      </c>
    </row>
    <row r="10" spans="1:29" outlineLevel="1" x14ac:dyDescent="0.25">
      <c r="A10" s="4" t="s">
        <v>28</v>
      </c>
      <c r="B10" s="6" t="s">
        <v>45</v>
      </c>
      <c r="C10" s="22">
        <f t="shared" si="2"/>
        <v>0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7"/>
      <c r="S10" s="13"/>
      <c r="T10" s="13"/>
      <c r="U10" s="13"/>
      <c r="V10" s="13"/>
      <c r="W10" s="68"/>
      <c r="X10" s="61">
        <f t="shared" si="3"/>
        <v>0</v>
      </c>
      <c r="Y10" s="13">
        <f t="shared" si="5"/>
        <v>0</v>
      </c>
      <c r="Z10" s="13">
        <f t="shared" si="6"/>
        <v>0</v>
      </c>
      <c r="AA10" s="13">
        <f t="shared" si="6"/>
        <v>0</v>
      </c>
      <c r="AB10" s="13">
        <f t="shared" si="6"/>
        <v>0</v>
      </c>
      <c r="AC10" s="13">
        <f t="shared" si="7"/>
        <v>0</v>
      </c>
    </row>
    <row r="11" spans="1:29" outlineLevel="1" x14ac:dyDescent="0.25">
      <c r="A11" s="4" t="s">
        <v>29</v>
      </c>
      <c r="B11" s="6" t="s">
        <v>46</v>
      </c>
      <c r="C11" s="22">
        <f t="shared" si="2"/>
        <v>0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7"/>
      <c r="S11" s="13"/>
      <c r="T11" s="13"/>
      <c r="U11" s="13"/>
      <c r="V11" s="13"/>
      <c r="W11" s="68"/>
      <c r="X11" s="61">
        <f t="shared" si="3"/>
        <v>0</v>
      </c>
      <c r="Y11" s="13">
        <f t="shared" si="5"/>
        <v>0</v>
      </c>
      <c r="Z11" s="13">
        <f t="shared" si="6"/>
        <v>0</v>
      </c>
      <c r="AA11" s="13">
        <f t="shared" si="6"/>
        <v>0</v>
      </c>
      <c r="AB11" s="13">
        <f t="shared" si="6"/>
        <v>0</v>
      </c>
      <c r="AC11" s="13">
        <f t="shared" si="7"/>
        <v>0</v>
      </c>
    </row>
    <row r="12" spans="1:29" outlineLevel="1" x14ac:dyDescent="0.25">
      <c r="A12" s="4" t="s">
        <v>30</v>
      </c>
      <c r="B12" s="6" t="s">
        <v>67</v>
      </c>
      <c r="C12" s="22">
        <f t="shared" si="2"/>
        <v>0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7"/>
      <c r="S12" s="13"/>
      <c r="T12" s="13"/>
      <c r="U12" s="13"/>
      <c r="V12" s="13"/>
      <c r="W12" s="68"/>
      <c r="X12" s="61">
        <f t="shared" si="3"/>
        <v>0</v>
      </c>
      <c r="Y12" s="13">
        <f t="shared" si="5"/>
        <v>0</v>
      </c>
      <c r="Z12" s="13">
        <f t="shared" si="6"/>
        <v>0</v>
      </c>
      <c r="AA12" s="13">
        <f t="shared" si="6"/>
        <v>0</v>
      </c>
      <c r="AB12" s="13">
        <f t="shared" si="6"/>
        <v>0</v>
      </c>
      <c r="AC12" s="13">
        <f t="shared" si="7"/>
        <v>0</v>
      </c>
    </row>
    <row r="13" spans="1:29" outlineLevel="1" x14ac:dyDescent="0.25">
      <c r="A13" s="4" t="s">
        <v>31</v>
      </c>
      <c r="B13" s="6" t="s">
        <v>71</v>
      </c>
      <c r="C13" s="22">
        <f t="shared" si="2"/>
        <v>3300000</v>
      </c>
      <c r="D13" s="13">
        <v>100000</v>
      </c>
      <c r="E13" s="13">
        <v>100000</v>
      </c>
      <c r="F13" s="13">
        <v>100000</v>
      </c>
      <c r="G13" s="13">
        <v>100000</v>
      </c>
      <c r="H13" s="13">
        <v>100000</v>
      </c>
      <c r="I13" s="13">
        <v>200000</v>
      </c>
      <c r="J13" s="13">
        <v>200000</v>
      </c>
      <c r="K13" s="13">
        <v>200000</v>
      </c>
      <c r="L13" s="13">
        <v>200000</v>
      </c>
      <c r="M13" s="13">
        <v>200000</v>
      </c>
      <c r="N13" s="13">
        <v>200000</v>
      </c>
      <c r="O13" s="13">
        <v>200000</v>
      </c>
      <c r="P13" s="13">
        <v>200000</v>
      </c>
      <c r="Q13" s="13">
        <v>200000</v>
      </c>
      <c r="R13" s="17">
        <v>200000</v>
      </c>
      <c r="S13" s="13">
        <v>200000</v>
      </c>
      <c r="T13" s="13">
        <v>200000</v>
      </c>
      <c r="U13" s="13">
        <v>200000</v>
      </c>
      <c r="V13" s="13">
        <v>200000</v>
      </c>
      <c r="W13" s="68"/>
      <c r="X13" s="61">
        <f t="shared" si="3"/>
        <v>1900000</v>
      </c>
      <c r="Y13" s="13">
        <f t="shared" si="5"/>
        <v>2800000</v>
      </c>
      <c r="Z13" s="13">
        <f t="shared" si="6"/>
        <v>2800000</v>
      </c>
      <c r="AA13" s="13">
        <f t="shared" si="6"/>
        <v>2800000</v>
      </c>
      <c r="AB13" s="13">
        <f t="shared" si="6"/>
        <v>2800000</v>
      </c>
      <c r="AC13" s="13">
        <f t="shared" si="7"/>
        <v>13100000</v>
      </c>
    </row>
    <row r="14" spans="1:29" outlineLevel="1" x14ac:dyDescent="0.25">
      <c r="A14" s="4" t="s">
        <v>32</v>
      </c>
      <c r="B14" s="6" t="s">
        <v>72</v>
      </c>
      <c r="C14" s="22">
        <f t="shared" si="2"/>
        <v>4615986.666666666</v>
      </c>
      <c r="D14" s="13">
        <f>D$23*0.01</f>
        <v>32200</v>
      </c>
      <c r="E14" s="13">
        <f>E$23*0.02</f>
        <v>85866.666666666657</v>
      </c>
      <c r="F14" s="13">
        <f t="shared" ref="F14:V14" si="8">F$23*0.02</f>
        <v>128800</v>
      </c>
      <c r="G14" s="13">
        <f t="shared" si="8"/>
        <v>193200</v>
      </c>
      <c r="H14" s="13">
        <f t="shared" si="8"/>
        <v>218960</v>
      </c>
      <c r="I14" s="13">
        <f t="shared" si="8"/>
        <v>257600</v>
      </c>
      <c r="J14" s="13">
        <f t="shared" si="8"/>
        <v>257600</v>
      </c>
      <c r="K14" s="13">
        <f t="shared" si="8"/>
        <v>257600</v>
      </c>
      <c r="L14" s="13">
        <f t="shared" si="8"/>
        <v>257600</v>
      </c>
      <c r="M14" s="13">
        <f t="shared" si="8"/>
        <v>257600</v>
      </c>
      <c r="N14" s="13">
        <f t="shared" si="8"/>
        <v>257600</v>
      </c>
      <c r="O14" s="13">
        <f t="shared" si="8"/>
        <v>257600</v>
      </c>
      <c r="P14" s="13">
        <f t="shared" si="8"/>
        <v>257600</v>
      </c>
      <c r="Q14" s="13">
        <f t="shared" si="8"/>
        <v>257600</v>
      </c>
      <c r="R14" s="17">
        <f t="shared" si="8"/>
        <v>257600</v>
      </c>
      <c r="S14" s="13">
        <f t="shared" si="8"/>
        <v>257600</v>
      </c>
      <c r="T14" s="13">
        <f t="shared" si="8"/>
        <v>257600</v>
      </c>
      <c r="U14" s="13">
        <v>608160</v>
      </c>
      <c r="V14" s="13">
        <f t="shared" si="8"/>
        <v>257600</v>
      </c>
      <c r="W14" s="68"/>
      <c r="X14" s="61">
        <f t="shared" si="3"/>
        <v>2462226.6666666665</v>
      </c>
      <c r="Y14" s="13">
        <f t="shared" si="5"/>
        <v>4307520</v>
      </c>
      <c r="Z14" s="13">
        <f t="shared" si="6"/>
        <v>4307520</v>
      </c>
      <c r="AA14" s="13">
        <f t="shared" si="6"/>
        <v>4307520</v>
      </c>
      <c r="AB14" s="13">
        <f t="shared" si="6"/>
        <v>4307520</v>
      </c>
      <c r="AC14" s="13">
        <f t="shared" si="7"/>
        <v>19692306.666666664</v>
      </c>
    </row>
    <row r="15" spans="1:29" outlineLevel="1" x14ac:dyDescent="0.25">
      <c r="A15" s="4" t="s">
        <v>33</v>
      </c>
      <c r="B15" s="6" t="s">
        <v>74</v>
      </c>
      <c r="C15" s="22">
        <f t="shared" si="2"/>
        <v>3420000</v>
      </c>
      <c r="D15" s="13">
        <v>500000</v>
      </c>
      <c r="E15" s="13">
        <v>120000</v>
      </c>
      <c r="F15" s="13">
        <v>120000</v>
      </c>
      <c r="G15" s="13">
        <v>120000</v>
      </c>
      <c r="H15" s="13">
        <v>120000</v>
      </c>
      <c r="I15" s="13">
        <v>120000</v>
      </c>
      <c r="J15" s="13">
        <v>500000</v>
      </c>
      <c r="K15" s="13">
        <v>120000</v>
      </c>
      <c r="L15" s="13">
        <v>120000</v>
      </c>
      <c r="M15" s="13">
        <v>120000</v>
      </c>
      <c r="N15" s="13">
        <v>120000</v>
      </c>
      <c r="O15" s="13">
        <v>120000</v>
      </c>
      <c r="P15" s="13">
        <v>120000</v>
      </c>
      <c r="Q15" s="13">
        <v>120000</v>
      </c>
      <c r="R15" s="17">
        <v>500000</v>
      </c>
      <c r="S15" s="13">
        <v>120000</v>
      </c>
      <c r="T15" s="13">
        <v>120000</v>
      </c>
      <c r="U15" s="13">
        <v>120000</v>
      </c>
      <c r="V15" s="13">
        <v>120000</v>
      </c>
      <c r="W15" s="68"/>
      <c r="X15" s="61">
        <f t="shared" si="3"/>
        <v>2200000</v>
      </c>
      <c r="Y15" s="13">
        <f t="shared" si="5"/>
        <v>2440000</v>
      </c>
      <c r="Z15" s="13">
        <f t="shared" si="6"/>
        <v>2440000</v>
      </c>
      <c r="AA15" s="13">
        <f t="shared" si="6"/>
        <v>2440000</v>
      </c>
      <c r="AB15" s="13">
        <f t="shared" si="6"/>
        <v>2440000</v>
      </c>
      <c r="AC15" s="13">
        <f t="shared" si="7"/>
        <v>11960000</v>
      </c>
    </row>
    <row r="16" spans="1:29" outlineLevel="1" x14ac:dyDescent="0.25">
      <c r="A16" s="4" t="s">
        <v>47</v>
      </c>
      <c r="B16" s="6" t="s">
        <v>75</v>
      </c>
      <c r="C16" s="22">
        <f t="shared" si="2"/>
        <v>0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7"/>
      <c r="S16" s="13"/>
      <c r="T16" s="13"/>
      <c r="U16" s="13"/>
      <c r="V16" s="13"/>
      <c r="W16" s="68"/>
      <c r="X16" s="61">
        <f t="shared" si="3"/>
        <v>0</v>
      </c>
      <c r="Y16" s="13">
        <f t="shared" si="5"/>
        <v>0</v>
      </c>
      <c r="Z16" s="13">
        <f t="shared" si="6"/>
        <v>0</v>
      </c>
      <c r="AA16" s="13">
        <f t="shared" si="6"/>
        <v>0</v>
      </c>
      <c r="AB16" s="13">
        <f t="shared" si="6"/>
        <v>0</v>
      </c>
      <c r="AC16" s="13">
        <f t="shared" si="7"/>
        <v>0</v>
      </c>
    </row>
    <row r="17" spans="1:29" outlineLevel="1" x14ac:dyDescent="0.25">
      <c r="A17" s="4" t="s">
        <v>48</v>
      </c>
      <c r="B17" s="6" t="s">
        <v>159</v>
      </c>
      <c r="C17" s="22">
        <f t="shared" si="2"/>
        <v>2251341.666666667</v>
      </c>
      <c r="D17" s="13">
        <f>1421900/12</f>
        <v>118491.66666666667</v>
      </c>
      <c r="E17" s="13">
        <f t="shared" ref="E17:V17" si="9">1421900/12</f>
        <v>118491.66666666667</v>
      </c>
      <c r="F17" s="13">
        <f t="shared" si="9"/>
        <v>118491.66666666667</v>
      </c>
      <c r="G17" s="13">
        <f t="shared" si="9"/>
        <v>118491.66666666667</v>
      </c>
      <c r="H17" s="13">
        <f t="shared" si="9"/>
        <v>118491.66666666667</v>
      </c>
      <c r="I17" s="13">
        <f t="shared" si="9"/>
        <v>118491.66666666667</v>
      </c>
      <c r="J17" s="13">
        <f t="shared" si="9"/>
        <v>118491.66666666667</v>
      </c>
      <c r="K17" s="13">
        <f t="shared" si="9"/>
        <v>118491.66666666667</v>
      </c>
      <c r="L17" s="13">
        <f t="shared" si="9"/>
        <v>118491.66666666667</v>
      </c>
      <c r="M17" s="13">
        <f t="shared" si="9"/>
        <v>118491.66666666667</v>
      </c>
      <c r="N17" s="13">
        <f t="shared" si="9"/>
        <v>118491.66666666667</v>
      </c>
      <c r="O17" s="13">
        <f t="shared" si="9"/>
        <v>118491.66666666667</v>
      </c>
      <c r="P17" s="13">
        <f t="shared" si="9"/>
        <v>118491.66666666667</v>
      </c>
      <c r="Q17" s="13">
        <f t="shared" si="9"/>
        <v>118491.66666666667</v>
      </c>
      <c r="R17" s="17">
        <f t="shared" si="9"/>
        <v>118491.66666666667</v>
      </c>
      <c r="S17" s="13">
        <f t="shared" si="9"/>
        <v>118491.66666666667</v>
      </c>
      <c r="T17" s="13">
        <f t="shared" si="9"/>
        <v>118491.66666666667</v>
      </c>
      <c r="U17" s="13">
        <v>118491.66666666667</v>
      </c>
      <c r="V17" s="13">
        <f t="shared" si="9"/>
        <v>118491.66666666667</v>
      </c>
      <c r="W17" s="68"/>
      <c r="X17" s="61">
        <f t="shared" si="3"/>
        <v>1421900.0000000002</v>
      </c>
      <c r="Y17" s="13">
        <f t="shared" si="5"/>
        <v>1658883.3333333333</v>
      </c>
      <c r="Z17" s="13">
        <f t="shared" si="6"/>
        <v>1658883.3333333333</v>
      </c>
      <c r="AA17" s="13">
        <f t="shared" si="6"/>
        <v>1658883.3333333333</v>
      </c>
      <c r="AB17" s="13">
        <f t="shared" si="6"/>
        <v>1658883.3333333333</v>
      </c>
      <c r="AC17" s="13">
        <f t="shared" si="7"/>
        <v>8057433.333333333</v>
      </c>
    </row>
    <row r="18" spans="1:29" outlineLevel="1" x14ac:dyDescent="0.25">
      <c r="A18" s="4" t="s">
        <v>49</v>
      </c>
      <c r="B18" s="6" t="s">
        <v>195</v>
      </c>
      <c r="C18" s="22">
        <f t="shared" si="2"/>
        <v>2287137.5000000005</v>
      </c>
      <c r="D18" s="13">
        <f>Оборудование!$F$70*0.01/12</f>
        <v>113241.66666666667</v>
      </c>
      <c r="E18" s="13">
        <f>Оборудование!$F$70*0.01/12</f>
        <v>113241.66666666667</v>
      </c>
      <c r="F18" s="13">
        <f>Оборудование!$F$70*0.01/12</f>
        <v>113241.66666666667</v>
      </c>
      <c r="G18" s="13">
        <f>Оборудование!$F$70*0.01/12</f>
        <v>113241.66666666667</v>
      </c>
      <c r="H18" s="13">
        <f>Оборудование!$F$70*0.01/12</f>
        <v>113241.66666666667</v>
      </c>
      <c r="I18" s="13">
        <f>Оборудование!$F$70*0.01/12</f>
        <v>113241.66666666667</v>
      </c>
      <c r="J18" s="13">
        <f>Оборудование!$F$70*0.01/12</f>
        <v>113241.66666666667</v>
      </c>
      <c r="K18" s="13">
        <f>Оборудование!$F$70*0.01/12</f>
        <v>113241.66666666667</v>
      </c>
      <c r="L18" s="13">
        <f>Оборудование!$F$70*0.01/12</f>
        <v>113241.66666666667</v>
      </c>
      <c r="M18" s="13">
        <f>Оборудование!$F$70*0.01/12</f>
        <v>113241.66666666667</v>
      </c>
      <c r="N18" s="13">
        <f>Оборудование!$F$70*0.01/12</f>
        <v>113241.66666666667</v>
      </c>
      <c r="O18" s="13">
        <f>Оборудование!$F$70*0.01/12</f>
        <v>113241.66666666667</v>
      </c>
      <c r="P18" s="13">
        <f>Оборудование!$F$70*0.01/12</f>
        <v>113241.66666666667</v>
      </c>
      <c r="Q18" s="13">
        <f>Оборудование!$F$70*0.01/12</f>
        <v>113241.66666666667</v>
      </c>
      <c r="R18" s="17">
        <f>Оборудование!$F$70*0.01/12</f>
        <v>113241.66666666667</v>
      </c>
      <c r="S18" s="13">
        <f>Оборудование!$F$70*0.01/12</f>
        <v>113241.66666666667</v>
      </c>
      <c r="T18" s="13">
        <f>Оборудование!$F$70*0.01/12</f>
        <v>113241.66666666667</v>
      </c>
      <c r="U18" s="13">
        <v>248787.5</v>
      </c>
      <c r="V18" s="13">
        <f>Оборудование!$F$70*0.01/12</f>
        <v>113241.66666666667</v>
      </c>
      <c r="W18" s="68"/>
      <c r="X18" s="61">
        <f t="shared" si="3"/>
        <v>1358900</v>
      </c>
      <c r="Y18" s="13">
        <f t="shared" si="5"/>
        <v>1856475</v>
      </c>
      <c r="Z18" s="13">
        <f t="shared" si="6"/>
        <v>1856475</v>
      </c>
      <c r="AA18" s="13">
        <f t="shared" si="6"/>
        <v>1856475</v>
      </c>
      <c r="AB18" s="13">
        <f t="shared" si="6"/>
        <v>1856475</v>
      </c>
      <c r="AC18" s="13">
        <f t="shared" si="7"/>
        <v>8784800</v>
      </c>
    </row>
    <row r="19" spans="1:29" outlineLevel="1" x14ac:dyDescent="0.25">
      <c r="A19" s="4" t="s">
        <v>50</v>
      </c>
      <c r="B19" s="6" t="s">
        <v>243</v>
      </c>
      <c r="C19" s="22">
        <f t="shared" si="2"/>
        <v>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7"/>
      <c r="S19" s="13"/>
      <c r="T19" s="13"/>
      <c r="U19" s="13"/>
      <c r="V19" s="13"/>
      <c r="W19" s="68"/>
      <c r="X19" s="61">
        <f t="shared" si="3"/>
        <v>0</v>
      </c>
      <c r="Y19" s="13">
        <f t="shared" si="5"/>
        <v>0</v>
      </c>
      <c r="Z19" s="13">
        <f t="shared" si="6"/>
        <v>0</v>
      </c>
      <c r="AA19" s="13">
        <f t="shared" si="6"/>
        <v>0</v>
      </c>
      <c r="AB19" s="13">
        <f t="shared" si="6"/>
        <v>0</v>
      </c>
      <c r="AC19" s="13">
        <f t="shared" si="7"/>
        <v>0</v>
      </c>
    </row>
    <row r="20" spans="1:29" ht="12.6" customHeight="1" outlineLevel="1" x14ac:dyDescent="0.25">
      <c r="A20" s="4" t="s">
        <v>51</v>
      </c>
      <c r="B20" s="6" t="s">
        <v>279</v>
      </c>
      <c r="C20" s="22">
        <f t="shared" si="2"/>
        <v>0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7"/>
      <c r="S20" s="13"/>
      <c r="T20" s="13"/>
      <c r="U20" s="13"/>
      <c r="V20" s="13"/>
      <c r="W20" s="68"/>
      <c r="X20" s="61">
        <f t="shared" si="3"/>
        <v>0</v>
      </c>
      <c r="Y20" s="13">
        <f t="shared" si="5"/>
        <v>0</v>
      </c>
      <c r="Z20" s="13">
        <f t="shared" si="6"/>
        <v>0</v>
      </c>
      <c r="AA20" s="13">
        <f t="shared" si="6"/>
        <v>0</v>
      </c>
      <c r="AB20" s="13">
        <f t="shared" si="6"/>
        <v>0</v>
      </c>
      <c r="AC20" s="13">
        <f t="shared" si="7"/>
        <v>0</v>
      </c>
    </row>
    <row r="21" spans="1:29" outlineLevel="1" x14ac:dyDescent="0.25">
      <c r="A21" s="4" t="s">
        <v>245</v>
      </c>
      <c r="B21" s="6" t="s">
        <v>278</v>
      </c>
      <c r="C21" s="22">
        <f t="shared" si="2"/>
        <v>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7"/>
      <c r="S21" s="13"/>
      <c r="T21" s="13"/>
      <c r="U21" s="13"/>
      <c r="V21" s="13"/>
      <c r="W21" s="67"/>
      <c r="X21" s="61">
        <f t="shared" si="3"/>
        <v>0</v>
      </c>
      <c r="Y21" s="13">
        <f t="shared" si="5"/>
        <v>0</v>
      </c>
      <c r="Z21" s="13">
        <f t="shared" si="6"/>
        <v>0</v>
      </c>
      <c r="AA21" s="13">
        <f t="shared" si="6"/>
        <v>0</v>
      </c>
      <c r="AB21" s="13">
        <f t="shared" si="6"/>
        <v>0</v>
      </c>
      <c r="AC21" s="13">
        <f t="shared" si="7"/>
        <v>0</v>
      </c>
    </row>
    <row r="22" spans="1:29" outlineLevel="1" x14ac:dyDescent="0.25">
      <c r="A22" s="4" t="s">
        <v>246</v>
      </c>
      <c r="B22" s="6" t="s">
        <v>66</v>
      </c>
      <c r="C22" s="22">
        <f t="shared" si="2"/>
        <v>950000</v>
      </c>
      <c r="D22" s="13">
        <v>50000</v>
      </c>
      <c r="E22" s="13">
        <v>50000</v>
      </c>
      <c r="F22" s="13">
        <v>50000</v>
      </c>
      <c r="G22" s="13">
        <v>50000</v>
      </c>
      <c r="H22" s="13">
        <v>50000</v>
      </c>
      <c r="I22" s="13">
        <v>50000</v>
      </c>
      <c r="J22" s="13">
        <v>50000</v>
      </c>
      <c r="K22" s="13">
        <v>50000</v>
      </c>
      <c r="L22" s="13">
        <v>50000</v>
      </c>
      <c r="M22" s="13">
        <v>50000</v>
      </c>
      <c r="N22" s="13">
        <v>50000</v>
      </c>
      <c r="O22" s="13">
        <v>50000</v>
      </c>
      <c r="P22" s="13">
        <v>50000</v>
      </c>
      <c r="Q22" s="13">
        <v>50000</v>
      </c>
      <c r="R22" s="17">
        <v>50000</v>
      </c>
      <c r="S22" s="13">
        <v>50000</v>
      </c>
      <c r="T22" s="13">
        <v>50000</v>
      </c>
      <c r="U22" s="13">
        <v>50000</v>
      </c>
      <c r="V22" s="13">
        <v>50000</v>
      </c>
      <c r="W22" s="68"/>
      <c r="X22" s="61">
        <f t="shared" si="3"/>
        <v>600000</v>
      </c>
      <c r="Y22" s="13">
        <f t="shared" si="5"/>
        <v>700000</v>
      </c>
      <c r="Z22" s="13">
        <f t="shared" si="6"/>
        <v>700000</v>
      </c>
      <c r="AA22" s="13">
        <f t="shared" si="6"/>
        <v>700000</v>
      </c>
      <c r="AB22" s="13">
        <f t="shared" si="6"/>
        <v>700000</v>
      </c>
      <c r="AC22" s="13">
        <f t="shared" si="7"/>
        <v>3400000</v>
      </c>
    </row>
    <row r="23" spans="1:29" ht="15.75" x14ac:dyDescent="0.25">
      <c r="A23" s="3" t="s">
        <v>53</v>
      </c>
      <c r="B23" s="8" t="s">
        <v>54</v>
      </c>
      <c r="C23" s="23">
        <f>SUM(C24:C34)</f>
        <v>214881333.33333331</v>
      </c>
      <c r="D23" s="14">
        <f t="shared" ref="D23:V23" si="10">SUM(D24:D34)</f>
        <v>3220000</v>
      </c>
      <c r="E23" s="14">
        <f t="shared" si="10"/>
        <v>4293333.333333333</v>
      </c>
      <c r="F23" s="14">
        <f t="shared" si="10"/>
        <v>6440000</v>
      </c>
      <c r="G23" s="14">
        <f t="shared" si="10"/>
        <v>9660000</v>
      </c>
      <c r="H23" s="14">
        <f t="shared" si="10"/>
        <v>10948000</v>
      </c>
      <c r="I23" s="14">
        <f t="shared" si="10"/>
        <v>12880000</v>
      </c>
      <c r="J23" s="14">
        <f t="shared" si="10"/>
        <v>12880000</v>
      </c>
      <c r="K23" s="14">
        <f t="shared" si="10"/>
        <v>12880000</v>
      </c>
      <c r="L23" s="14">
        <f t="shared" si="10"/>
        <v>12880000</v>
      </c>
      <c r="M23" s="14">
        <f t="shared" si="10"/>
        <v>12880000</v>
      </c>
      <c r="N23" s="14">
        <f t="shared" si="10"/>
        <v>12880000</v>
      </c>
      <c r="O23" s="14">
        <f t="shared" si="10"/>
        <v>12880000</v>
      </c>
      <c r="P23" s="14">
        <f t="shared" si="10"/>
        <v>12880000</v>
      </c>
      <c r="Q23" s="14">
        <f t="shared" si="10"/>
        <v>12880000</v>
      </c>
      <c r="R23" s="17">
        <f t="shared" si="10"/>
        <v>12880000</v>
      </c>
      <c r="S23" s="14">
        <f t="shared" si="10"/>
        <v>12880000</v>
      </c>
      <c r="T23" s="14">
        <f t="shared" si="10"/>
        <v>12880000</v>
      </c>
      <c r="U23" s="14">
        <f t="shared" si="10"/>
        <v>12880000</v>
      </c>
      <c r="V23" s="14">
        <f t="shared" si="10"/>
        <v>12880000</v>
      </c>
      <c r="W23" s="68"/>
      <c r="X23" s="62">
        <f t="shared" ref="X23:AB23" si="11">SUM(X24:X34)</f>
        <v>124721333.33333333</v>
      </c>
      <c r="Y23" s="14">
        <f t="shared" si="11"/>
        <v>180320000</v>
      </c>
      <c r="Z23" s="14">
        <f t="shared" si="11"/>
        <v>180320000</v>
      </c>
      <c r="AA23" s="14">
        <f t="shared" si="11"/>
        <v>180320000</v>
      </c>
      <c r="AB23" s="14">
        <f t="shared" si="11"/>
        <v>180320000</v>
      </c>
      <c r="AC23" s="14">
        <f>SUM(X23:AB23)</f>
        <v>846001333.33333325</v>
      </c>
    </row>
    <row r="24" spans="1:29" outlineLevel="1" x14ac:dyDescent="0.25">
      <c r="A24" s="4" t="s">
        <v>77</v>
      </c>
      <c r="B24" s="11" t="s">
        <v>63</v>
      </c>
      <c r="C24" s="24">
        <f t="shared" ref="C24:C34" si="12">SUM(D24:V24)</f>
        <v>0</v>
      </c>
      <c r="D24" s="15">
        <f>Продукция!$I$3/4</f>
        <v>0</v>
      </c>
      <c r="E24" s="15">
        <f>Продукция!$I$3/3</f>
        <v>0</v>
      </c>
      <c r="F24" s="15">
        <f>Продукция!$I$3/2</f>
        <v>0</v>
      </c>
      <c r="G24" s="15">
        <f>Продукция!$I$3*0.75</f>
        <v>0</v>
      </c>
      <c r="H24" s="15">
        <f>Продукция!$I$3*0.85</f>
        <v>0</v>
      </c>
      <c r="I24" s="15">
        <f>Продукция!$I$3</f>
        <v>0</v>
      </c>
      <c r="J24" s="15">
        <f>Продукция!$I$3</f>
        <v>0</v>
      </c>
      <c r="K24" s="15">
        <f>Продукция!$I$3</f>
        <v>0</v>
      </c>
      <c r="L24" s="15">
        <f>Продукция!$I$3</f>
        <v>0</v>
      </c>
      <c r="M24" s="15">
        <f>Продукция!$I$3</f>
        <v>0</v>
      </c>
      <c r="N24" s="15">
        <f>Продукция!$I$3</f>
        <v>0</v>
      </c>
      <c r="O24" s="15">
        <f>Продукция!$I$3</f>
        <v>0</v>
      </c>
      <c r="P24" s="15">
        <f>Продукция!$I$3</f>
        <v>0</v>
      </c>
      <c r="Q24" s="15">
        <f>Продукция!$I$3</f>
        <v>0</v>
      </c>
      <c r="R24" s="17">
        <f>Продукция!$I$3</f>
        <v>0</v>
      </c>
      <c r="S24" s="15">
        <f>Продукция!$I$3</f>
        <v>0</v>
      </c>
      <c r="T24" s="15">
        <f>Продукция!$I$3</f>
        <v>0</v>
      </c>
      <c r="U24" s="15">
        <f>Продукция!$I$3</f>
        <v>0</v>
      </c>
      <c r="V24" s="15">
        <f>Продукция!$I$3</f>
        <v>0</v>
      </c>
      <c r="W24" s="68"/>
      <c r="X24" s="63">
        <f>SUM(D24:O24)</f>
        <v>0</v>
      </c>
      <c r="Y24" s="15">
        <f>SUM(P24:V24)*2</f>
        <v>0</v>
      </c>
      <c r="Z24" s="15">
        <f t="shared" ref="Z24:AB25" si="13">Y24</f>
        <v>0</v>
      </c>
      <c r="AA24" s="15">
        <f t="shared" si="13"/>
        <v>0</v>
      </c>
      <c r="AB24" s="15">
        <f t="shared" si="13"/>
        <v>0</v>
      </c>
      <c r="AC24" s="15">
        <f>SUM(X24:AB24)</f>
        <v>0</v>
      </c>
    </row>
    <row r="25" spans="1:29" outlineLevel="1" x14ac:dyDescent="0.25">
      <c r="A25" s="4"/>
      <c r="B25" s="11" t="s">
        <v>286</v>
      </c>
      <c r="C25" s="24">
        <f t="shared" si="12"/>
        <v>177510666.66666666</v>
      </c>
      <c r="D25" s="15">
        <f>Продукция!$I$5/4</f>
        <v>2660000</v>
      </c>
      <c r="E25" s="15">
        <f>Продукция!$I$5/3</f>
        <v>3546666.6666666665</v>
      </c>
      <c r="F25" s="15">
        <f>Продукция!$I$5/2</f>
        <v>5320000</v>
      </c>
      <c r="G25" s="15">
        <f>Продукция!$I$5*0.75</f>
        <v>7980000</v>
      </c>
      <c r="H25" s="15">
        <f>Продукция!$I$5*0.85</f>
        <v>9044000</v>
      </c>
      <c r="I25" s="15">
        <f>Продукция!$I$5</f>
        <v>10640000</v>
      </c>
      <c r="J25" s="15">
        <f>Продукция!$I$5</f>
        <v>10640000</v>
      </c>
      <c r="K25" s="15">
        <f>Продукция!$I$5</f>
        <v>10640000</v>
      </c>
      <c r="L25" s="15">
        <f>Продукция!$I$5</f>
        <v>10640000</v>
      </c>
      <c r="M25" s="15">
        <f>Продукция!$I$5</f>
        <v>10640000</v>
      </c>
      <c r="N25" s="15">
        <f>Продукция!$I$5</f>
        <v>10640000</v>
      </c>
      <c r="O25" s="15">
        <f>Продукция!$I$5</f>
        <v>10640000</v>
      </c>
      <c r="P25" s="15">
        <f>Продукция!$I$5</f>
        <v>10640000</v>
      </c>
      <c r="Q25" s="15">
        <f>Продукция!$I$5</f>
        <v>10640000</v>
      </c>
      <c r="R25" s="17">
        <f>Продукция!$I$5</f>
        <v>10640000</v>
      </c>
      <c r="S25" s="15">
        <f>Продукция!$I$5</f>
        <v>10640000</v>
      </c>
      <c r="T25" s="15">
        <f>Продукция!$I$5</f>
        <v>10640000</v>
      </c>
      <c r="U25" s="15">
        <f>Продукция!$I$5</f>
        <v>10640000</v>
      </c>
      <c r="V25" s="15">
        <f>Продукция!$I$5</f>
        <v>10640000</v>
      </c>
      <c r="W25" s="68"/>
      <c r="X25" s="63">
        <f t="shared" ref="X25:X33" si="14">SUM(D25:O25)</f>
        <v>103030666.66666666</v>
      </c>
      <c r="Y25" s="15">
        <f>SUM(P25:V25)*2</f>
        <v>148960000</v>
      </c>
      <c r="Z25" s="15">
        <f t="shared" si="13"/>
        <v>148960000</v>
      </c>
      <c r="AA25" s="15">
        <f t="shared" si="13"/>
        <v>148960000</v>
      </c>
      <c r="AB25" s="15">
        <f t="shared" si="13"/>
        <v>148960000</v>
      </c>
      <c r="AC25" s="15">
        <f>SUM(X25:AB25)</f>
        <v>698870666.66666663</v>
      </c>
    </row>
    <row r="26" spans="1:29" outlineLevel="1" x14ac:dyDescent="0.25">
      <c r="A26" s="4" t="s">
        <v>78</v>
      </c>
      <c r="B26" s="11" t="s">
        <v>64</v>
      </c>
      <c r="C26" s="24">
        <f t="shared" si="12"/>
        <v>0</v>
      </c>
      <c r="D26" s="15">
        <f>Продукция!$I$12/4</f>
        <v>0</v>
      </c>
      <c r="E26" s="15">
        <f>Продукция!$I$12/3</f>
        <v>0</v>
      </c>
      <c r="F26" s="15">
        <f>Продукция!$I$12/2</f>
        <v>0</v>
      </c>
      <c r="G26" s="15">
        <f>Продукция!$I$12*0.75</f>
        <v>0</v>
      </c>
      <c r="H26" s="15">
        <f>Продукция!$I$12*0.85</f>
        <v>0</v>
      </c>
      <c r="I26" s="15">
        <f>Продукция!$I$12</f>
        <v>0</v>
      </c>
      <c r="J26" s="15">
        <f>Продукция!$I$12</f>
        <v>0</v>
      </c>
      <c r="K26" s="15">
        <f>Продукция!$I$12</f>
        <v>0</v>
      </c>
      <c r="L26" s="15">
        <f>Продукция!$I$12</f>
        <v>0</v>
      </c>
      <c r="M26" s="15">
        <f>Продукция!$I$12</f>
        <v>0</v>
      </c>
      <c r="N26" s="15">
        <f>Продукция!$I$12</f>
        <v>0</v>
      </c>
      <c r="O26" s="15">
        <f>Продукция!$I$12</f>
        <v>0</v>
      </c>
      <c r="P26" s="15">
        <f>Продукция!$I$12</f>
        <v>0</v>
      </c>
      <c r="Q26" s="15">
        <f>Продукция!$I$12</f>
        <v>0</v>
      </c>
      <c r="R26" s="17">
        <f>Продукция!$I$12</f>
        <v>0</v>
      </c>
      <c r="S26" s="15">
        <f>Продукция!$I$12</f>
        <v>0</v>
      </c>
      <c r="T26" s="15">
        <f>Продукция!$I$12</f>
        <v>0</v>
      </c>
      <c r="U26" s="15">
        <f>Продукция!$I$12</f>
        <v>0</v>
      </c>
      <c r="V26" s="15">
        <f>Продукция!$I$12</f>
        <v>0</v>
      </c>
      <c r="W26" s="68"/>
      <c r="X26" s="63">
        <f t="shared" si="14"/>
        <v>0</v>
      </c>
      <c r="Y26" s="15">
        <f>SUM(P26:V26)*2</f>
        <v>0</v>
      </c>
      <c r="Z26" s="15">
        <f t="shared" ref="Z26:AA33" si="15">Y26</f>
        <v>0</v>
      </c>
      <c r="AA26" s="15">
        <f t="shared" si="15"/>
        <v>0</v>
      </c>
      <c r="AB26" s="15">
        <f t="shared" ref="AB26" si="16">AA26</f>
        <v>0</v>
      </c>
      <c r="AC26" s="15">
        <f t="shared" ref="AC26:AC33" si="17">SUM(X26:AB26)</f>
        <v>0</v>
      </c>
    </row>
    <row r="27" spans="1:29" outlineLevel="1" x14ac:dyDescent="0.25">
      <c r="A27" s="4" t="s">
        <v>79</v>
      </c>
      <c r="B27" s="11" t="s">
        <v>65</v>
      </c>
      <c r="C27" s="24">
        <f t="shared" si="12"/>
        <v>0</v>
      </c>
      <c r="D27" s="15">
        <f>Продукция!$I$13/4</f>
        <v>0</v>
      </c>
      <c r="E27" s="15">
        <f>Продукция!$I$13/3</f>
        <v>0</v>
      </c>
      <c r="F27" s="15">
        <f>Продукция!$I$13/2</f>
        <v>0</v>
      </c>
      <c r="G27" s="15">
        <f>Продукция!$I$13*0.75</f>
        <v>0</v>
      </c>
      <c r="H27" s="15">
        <f>Продукция!$I$13*0.85</f>
        <v>0</v>
      </c>
      <c r="I27" s="15">
        <f>Продукция!$I$13</f>
        <v>0</v>
      </c>
      <c r="J27" s="15">
        <f>Продукция!$I$13</f>
        <v>0</v>
      </c>
      <c r="K27" s="15">
        <f>Продукция!$I$13</f>
        <v>0</v>
      </c>
      <c r="L27" s="15">
        <f>Продукция!$I$13</f>
        <v>0</v>
      </c>
      <c r="M27" s="15">
        <f>Продукция!$I$13</f>
        <v>0</v>
      </c>
      <c r="N27" s="15">
        <f>Продукция!$I$13</f>
        <v>0</v>
      </c>
      <c r="O27" s="15">
        <f>Продукция!$I$13</f>
        <v>0</v>
      </c>
      <c r="P27" s="15">
        <f>Продукция!$I$13</f>
        <v>0</v>
      </c>
      <c r="Q27" s="15">
        <f>Продукция!$I$13</f>
        <v>0</v>
      </c>
      <c r="R27" s="17">
        <f>Продукция!$I$13</f>
        <v>0</v>
      </c>
      <c r="S27" s="15">
        <f>Продукция!$I$13</f>
        <v>0</v>
      </c>
      <c r="T27" s="15">
        <f>Продукция!$I$13</f>
        <v>0</v>
      </c>
      <c r="U27" s="15">
        <f>Продукция!$I$13</f>
        <v>0</v>
      </c>
      <c r="V27" s="15">
        <f>Продукция!$I$13</f>
        <v>0</v>
      </c>
      <c r="W27" s="68"/>
      <c r="X27" s="63">
        <f t="shared" si="14"/>
        <v>0</v>
      </c>
      <c r="Y27" s="15">
        <f>SUM(P27:V27)*2</f>
        <v>0</v>
      </c>
      <c r="Z27" s="15">
        <f t="shared" si="15"/>
        <v>0</v>
      </c>
      <c r="AA27" s="15">
        <f t="shared" si="15"/>
        <v>0</v>
      </c>
      <c r="AB27" s="15">
        <f t="shared" ref="AB27" si="18">AA27</f>
        <v>0</v>
      </c>
      <c r="AC27" s="15">
        <f t="shared" si="17"/>
        <v>0</v>
      </c>
    </row>
    <row r="28" spans="1:29" outlineLevel="1" x14ac:dyDescent="0.25">
      <c r="A28" s="4" t="s">
        <v>80</v>
      </c>
      <c r="B28" s="11" t="s">
        <v>69</v>
      </c>
      <c r="C28" s="24">
        <f t="shared" si="12"/>
        <v>0</v>
      </c>
      <c r="D28" s="15">
        <f>Продукция!$I$14/4</f>
        <v>0</v>
      </c>
      <c r="E28" s="15">
        <f>Продукция!$I$14/3</f>
        <v>0</v>
      </c>
      <c r="F28" s="15">
        <f>Продукция!$I$14/2</f>
        <v>0</v>
      </c>
      <c r="G28" s="15">
        <f>Продукция!$I$14*0.75</f>
        <v>0</v>
      </c>
      <c r="H28" s="15">
        <f>Продукция!$I$14*0.85</f>
        <v>0</v>
      </c>
      <c r="I28" s="15">
        <f>Продукция!$I$14</f>
        <v>0</v>
      </c>
      <c r="J28" s="15">
        <f>Продукция!$I$14</f>
        <v>0</v>
      </c>
      <c r="K28" s="15">
        <f>Продукция!$I$14</f>
        <v>0</v>
      </c>
      <c r="L28" s="15">
        <f>Продукция!$I$14</f>
        <v>0</v>
      </c>
      <c r="M28" s="15">
        <f>Продукция!$I$14</f>
        <v>0</v>
      </c>
      <c r="N28" s="15">
        <f>Продукция!$I$14</f>
        <v>0</v>
      </c>
      <c r="O28" s="15">
        <f>Продукция!$I$14</f>
        <v>0</v>
      </c>
      <c r="P28" s="15">
        <f>Продукция!$I$14</f>
        <v>0</v>
      </c>
      <c r="Q28" s="15">
        <f>Продукция!$I$14</f>
        <v>0</v>
      </c>
      <c r="R28" s="17">
        <f>Продукция!$I$14</f>
        <v>0</v>
      </c>
      <c r="S28" s="15">
        <f>Продукция!$I$14</f>
        <v>0</v>
      </c>
      <c r="T28" s="15">
        <f>Продукция!$I$14</f>
        <v>0</v>
      </c>
      <c r="U28" s="15">
        <f>Продукция!$I$14</f>
        <v>0</v>
      </c>
      <c r="V28" s="15">
        <f>Продукция!$I$14</f>
        <v>0</v>
      </c>
      <c r="W28" s="68"/>
      <c r="X28" s="63">
        <f t="shared" si="14"/>
        <v>0</v>
      </c>
      <c r="Y28" s="15">
        <f>SUM(P28:V28)*2</f>
        <v>0</v>
      </c>
      <c r="Z28" s="15">
        <f t="shared" si="15"/>
        <v>0</v>
      </c>
      <c r="AA28" s="15">
        <f t="shared" si="15"/>
        <v>0</v>
      </c>
      <c r="AB28" s="15">
        <f t="shared" ref="AB28" si="19">AA28</f>
        <v>0</v>
      </c>
      <c r="AC28" s="15">
        <f t="shared" si="17"/>
        <v>0</v>
      </c>
    </row>
    <row r="29" spans="1:29" outlineLevel="1" x14ac:dyDescent="0.25">
      <c r="A29" s="4" t="s">
        <v>81</v>
      </c>
      <c r="B29" s="11" t="s">
        <v>70</v>
      </c>
      <c r="C29" s="24">
        <f t="shared" si="12"/>
        <v>0</v>
      </c>
      <c r="D29" s="15">
        <f>Продукция!$I$15/4</f>
        <v>0</v>
      </c>
      <c r="E29" s="15">
        <f>Продукция!$I$15/3</f>
        <v>0</v>
      </c>
      <c r="F29" s="15">
        <f>Продукция!$I$15/2</f>
        <v>0</v>
      </c>
      <c r="G29" s="15">
        <f>Продукция!$I$15*0.75</f>
        <v>0</v>
      </c>
      <c r="H29" s="15">
        <f>Продукция!$I$15*0.85</f>
        <v>0</v>
      </c>
      <c r="I29" s="15">
        <f>Продукция!$I$15</f>
        <v>0</v>
      </c>
      <c r="J29" s="15">
        <f>Продукция!$I$15</f>
        <v>0</v>
      </c>
      <c r="K29" s="15">
        <f>Продукция!$I$15</f>
        <v>0</v>
      </c>
      <c r="L29" s="15">
        <f>Продукция!$I$15</f>
        <v>0</v>
      </c>
      <c r="M29" s="15">
        <f>Продукция!$I$15</f>
        <v>0</v>
      </c>
      <c r="N29" s="15">
        <f>Продукция!$I$15</f>
        <v>0</v>
      </c>
      <c r="O29" s="15">
        <f>Продукция!$I$15</f>
        <v>0</v>
      </c>
      <c r="P29" s="15">
        <f>Продукция!$I$15</f>
        <v>0</v>
      </c>
      <c r="Q29" s="15">
        <f>Продукция!$I$15</f>
        <v>0</v>
      </c>
      <c r="R29" s="17">
        <f>Продукция!$I$15</f>
        <v>0</v>
      </c>
      <c r="S29" s="15">
        <f>Продукция!$I$15</f>
        <v>0</v>
      </c>
      <c r="T29" s="15">
        <f>Продукция!$I$15</f>
        <v>0</v>
      </c>
      <c r="U29" s="15">
        <f>Продукция!$I$15</f>
        <v>0</v>
      </c>
      <c r="V29" s="15">
        <f>Продукция!$I$15</f>
        <v>0</v>
      </c>
      <c r="W29" s="68"/>
      <c r="X29" s="63">
        <f t="shared" si="14"/>
        <v>0</v>
      </c>
      <c r="Y29" s="15">
        <f t="shared" ref="Y29:Y33" si="20">SUM(P29:V29)*2</f>
        <v>0</v>
      </c>
      <c r="Z29" s="15">
        <f t="shared" si="15"/>
        <v>0</v>
      </c>
      <c r="AA29" s="15">
        <f t="shared" si="15"/>
        <v>0</v>
      </c>
      <c r="AB29" s="15">
        <f t="shared" ref="AB29" si="21">AA29</f>
        <v>0</v>
      </c>
      <c r="AC29" s="15">
        <f t="shared" si="17"/>
        <v>0</v>
      </c>
    </row>
    <row r="30" spans="1:29" outlineLevel="1" x14ac:dyDescent="0.25">
      <c r="A30" s="4" t="s">
        <v>82</v>
      </c>
      <c r="B30" s="11" t="s">
        <v>76</v>
      </c>
      <c r="C30" s="24">
        <f t="shared" si="12"/>
        <v>0</v>
      </c>
      <c r="D30" s="15">
        <f>Продукция!$I$9/2</f>
        <v>0</v>
      </c>
      <c r="E30" s="15">
        <f>Продукция!$I$9/2</f>
        <v>0</v>
      </c>
      <c r="F30" s="15">
        <f>Продукция!$I$9/2</f>
        <v>0</v>
      </c>
      <c r="G30" s="15">
        <f>Продукция!$I$9</f>
        <v>0</v>
      </c>
      <c r="H30" s="15">
        <f>Продукция!$I$9</f>
        <v>0</v>
      </c>
      <c r="I30" s="15">
        <f>Продукция!$I$9</f>
        <v>0</v>
      </c>
      <c r="J30" s="15">
        <f>Продукция!$I$9</f>
        <v>0</v>
      </c>
      <c r="K30" s="15">
        <f>Продукция!$I$9</f>
        <v>0</v>
      </c>
      <c r="L30" s="15">
        <f>Продукция!$I$9</f>
        <v>0</v>
      </c>
      <c r="M30" s="15">
        <f>Продукция!$I$9</f>
        <v>0</v>
      </c>
      <c r="N30" s="15">
        <f>Продукция!$I$9</f>
        <v>0</v>
      </c>
      <c r="O30" s="15">
        <f>Продукция!$I$9</f>
        <v>0</v>
      </c>
      <c r="P30" s="15">
        <f>Продукция!$I$9</f>
        <v>0</v>
      </c>
      <c r="Q30" s="15">
        <f>Продукция!$I$9</f>
        <v>0</v>
      </c>
      <c r="R30" s="15">
        <f>Продукция!$I$9</f>
        <v>0</v>
      </c>
      <c r="S30" s="15">
        <f>Продукция!$I$9</f>
        <v>0</v>
      </c>
      <c r="T30" s="15">
        <f>Продукция!$I$9</f>
        <v>0</v>
      </c>
      <c r="U30" s="15">
        <f>Продукция!$I$9</f>
        <v>0</v>
      </c>
      <c r="V30" s="15">
        <f>Продукция!$I$9</f>
        <v>0</v>
      </c>
      <c r="W30" s="68"/>
      <c r="X30" s="63">
        <f t="shared" si="14"/>
        <v>0</v>
      </c>
      <c r="Y30" s="15">
        <f t="shared" si="20"/>
        <v>0</v>
      </c>
      <c r="Z30" s="15">
        <f t="shared" si="15"/>
        <v>0</v>
      </c>
      <c r="AA30" s="15">
        <f t="shared" si="15"/>
        <v>0</v>
      </c>
      <c r="AB30" s="15">
        <f t="shared" ref="AB30" si="22">AA30</f>
        <v>0</v>
      </c>
      <c r="AC30" s="15">
        <f t="shared" si="17"/>
        <v>0</v>
      </c>
    </row>
    <row r="31" spans="1:29" outlineLevel="1" x14ac:dyDescent="0.25">
      <c r="A31" s="4" t="s">
        <v>83</v>
      </c>
      <c r="B31" s="11" t="s">
        <v>68</v>
      </c>
      <c r="C31" s="24">
        <f t="shared" si="12"/>
        <v>23356666.666666668</v>
      </c>
      <c r="D31" s="15">
        <f>Продукция!$I$6/4</f>
        <v>350000</v>
      </c>
      <c r="E31" s="15">
        <f>Продукция!$I$6/3</f>
        <v>466666.66666666669</v>
      </c>
      <c r="F31" s="15">
        <f>Продукция!$I$6/2</f>
        <v>700000</v>
      </c>
      <c r="G31" s="15">
        <f>Продукция!$I$6*0.75</f>
        <v>1050000</v>
      </c>
      <c r="H31" s="15">
        <f>Продукция!$I$6*0.85</f>
        <v>1190000</v>
      </c>
      <c r="I31" s="15">
        <f>Продукция!$I$6</f>
        <v>1400000</v>
      </c>
      <c r="J31" s="15">
        <f>Продукция!$I$6</f>
        <v>1400000</v>
      </c>
      <c r="K31" s="15">
        <f>Продукция!$I$6</f>
        <v>1400000</v>
      </c>
      <c r="L31" s="15">
        <f>Продукция!$I$6</f>
        <v>1400000</v>
      </c>
      <c r="M31" s="15">
        <f>Продукция!$I$6</f>
        <v>1400000</v>
      </c>
      <c r="N31" s="15">
        <f>Продукция!$I$6</f>
        <v>1400000</v>
      </c>
      <c r="O31" s="15">
        <f>Продукция!$I$6</f>
        <v>1400000</v>
      </c>
      <c r="P31" s="15">
        <f>Продукция!$I$6</f>
        <v>1400000</v>
      </c>
      <c r="Q31" s="15">
        <f>Продукция!$I$6</f>
        <v>1400000</v>
      </c>
      <c r="R31" s="15">
        <f>Продукция!$I$6</f>
        <v>1400000</v>
      </c>
      <c r="S31" s="15">
        <f>Продукция!$I$6</f>
        <v>1400000</v>
      </c>
      <c r="T31" s="15">
        <f>Продукция!$I$6</f>
        <v>1400000</v>
      </c>
      <c r="U31" s="15">
        <f>Продукция!$I$6</f>
        <v>1400000</v>
      </c>
      <c r="V31" s="15">
        <f>Продукция!$I$6</f>
        <v>1400000</v>
      </c>
      <c r="W31" s="68"/>
      <c r="X31" s="63">
        <f t="shared" si="14"/>
        <v>13556666.666666668</v>
      </c>
      <c r="Y31" s="15">
        <f t="shared" si="20"/>
        <v>19600000</v>
      </c>
      <c r="Z31" s="15">
        <f t="shared" si="15"/>
        <v>19600000</v>
      </c>
      <c r="AA31" s="15">
        <f t="shared" si="15"/>
        <v>19600000</v>
      </c>
      <c r="AB31" s="15">
        <f t="shared" ref="AB31" si="23">AA31</f>
        <v>19600000</v>
      </c>
      <c r="AC31" s="15">
        <f t="shared" si="17"/>
        <v>91956666.666666672</v>
      </c>
    </row>
    <row r="32" spans="1:29" outlineLevel="1" x14ac:dyDescent="0.25">
      <c r="A32" s="4" t="s">
        <v>84</v>
      </c>
      <c r="B32" s="11" t="s">
        <v>86</v>
      </c>
      <c r="C32" s="24">
        <f t="shared" si="12"/>
        <v>14014000</v>
      </c>
      <c r="D32" s="15">
        <f>Продукция!$I$8/4</f>
        <v>210000</v>
      </c>
      <c r="E32" s="15">
        <f>Продукция!$I$8/3</f>
        <v>280000</v>
      </c>
      <c r="F32" s="15">
        <f>Продукция!$I$8/2</f>
        <v>420000</v>
      </c>
      <c r="G32" s="15">
        <f>Продукция!$I$8*0.75</f>
        <v>630000</v>
      </c>
      <c r="H32" s="15">
        <f>Продукция!$I$8*0.85</f>
        <v>714000</v>
      </c>
      <c r="I32" s="15">
        <f>Продукция!$I$8</f>
        <v>840000</v>
      </c>
      <c r="J32" s="15">
        <f>Продукция!$I$8</f>
        <v>840000</v>
      </c>
      <c r="K32" s="15">
        <f>Продукция!$I$8</f>
        <v>840000</v>
      </c>
      <c r="L32" s="15">
        <f>Продукция!$I$8</f>
        <v>840000</v>
      </c>
      <c r="M32" s="15">
        <f>Продукция!$I$8</f>
        <v>840000</v>
      </c>
      <c r="N32" s="15">
        <f>Продукция!$I$8</f>
        <v>840000</v>
      </c>
      <c r="O32" s="15">
        <f>Продукция!$I$8</f>
        <v>840000</v>
      </c>
      <c r="P32" s="15">
        <f>Продукция!$I$8</f>
        <v>840000</v>
      </c>
      <c r="Q32" s="15">
        <f>Продукция!$I$8</f>
        <v>840000</v>
      </c>
      <c r="R32" s="15">
        <f>Продукция!$I$8</f>
        <v>840000</v>
      </c>
      <c r="S32" s="15">
        <f>Продукция!$I$8</f>
        <v>840000</v>
      </c>
      <c r="T32" s="15">
        <f>Продукция!$I$8</f>
        <v>840000</v>
      </c>
      <c r="U32" s="15">
        <f>Продукция!$I$8</f>
        <v>840000</v>
      </c>
      <c r="V32" s="15">
        <f>Продукция!$I$8</f>
        <v>840000</v>
      </c>
      <c r="W32" s="68"/>
      <c r="X32" s="63">
        <f t="shared" si="14"/>
        <v>8134000</v>
      </c>
      <c r="Y32" s="15">
        <f>SUM(P32:V32)*2</f>
        <v>11760000</v>
      </c>
      <c r="Z32" s="15">
        <f t="shared" si="15"/>
        <v>11760000</v>
      </c>
      <c r="AA32" s="15">
        <f t="shared" si="15"/>
        <v>11760000</v>
      </c>
      <c r="AB32" s="15">
        <f t="shared" ref="AB32" si="24">AA32</f>
        <v>11760000</v>
      </c>
      <c r="AC32" s="15">
        <f t="shared" si="17"/>
        <v>55174000</v>
      </c>
    </row>
    <row r="33" spans="1:29" outlineLevel="1" x14ac:dyDescent="0.25">
      <c r="A33" s="4" t="s">
        <v>85</v>
      </c>
      <c r="B33" s="11" t="s">
        <v>114</v>
      </c>
      <c r="C33" s="24">
        <f t="shared" si="12"/>
        <v>0</v>
      </c>
      <c r="D33" s="15">
        <f>Продукция!$I$10/2</f>
        <v>0</v>
      </c>
      <c r="E33" s="15">
        <f>Продукция!$I$10/2</f>
        <v>0</v>
      </c>
      <c r="F33" s="15">
        <f>Продукция!$I$10/2</f>
        <v>0</v>
      </c>
      <c r="G33" s="15">
        <f>Продукция!$I$10</f>
        <v>0</v>
      </c>
      <c r="H33" s="15">
        <f>Продукция!$I$10</f>
        <v>0</v>
      </c>
      <c r="I33" s="15">
        <f>Продукция!$I$10</f>
        <v>0</v>
      </c>
      <c r="J33" s="15">
        <f>Продукция!$I$10</f>
        <v>0</v>
      </c>
      <c r="K33" s="15">
        <f>Продукция!$I$10</f>
        <v>0</v>
      </c>
      <c r="L33" s="15">
        <f>Продукция!$I$10</f>
        <v>0</v>
      </c>
      <c r="M33" s="15">
        <f>Продукция!$I$10</f>
        <v>0</v>
      </c>
      <c r="N33" s="15">
        <f>Продукция!$I$10</f>
        <v>0</v>
      </c>
      <c r="O33" s="15">
        <f>Продукция!$I$10</f>
        <v>0</v>
      </c>
      <c r="P33" s="15">
        <f>Продукция!$I$10</f>
        <v>0</v>
      </c>
      <c r="Q33" s="15">
        <f>Продукция!$I$10</f>
        <v>0</v>
      </c>
      <c r="R33" s="15">
        <f>Продукция!$I$10</f>
        <v>0</v>
      </c>
      <c r="S33" s="15">
        <f>Продукция!$I$10</f>
        <v>0</v>
      </c>
      <c r="T33" s="15">
        <f>Продукция!$I$10</f>
        <v>0</v>
      </c>
      <c r="U33" s="15">
        <f>Продукция!$I$10</f>
        <v>0</v>
      </c>
      <c r="V33" s="15">
        <f>Продукция!$I$10</f>
        <v>0</v>
      </c>
      <c r="W33" s="68"/>
      <c r="X33" s="63">
        <f t="shared" si="14"/>
        <v>0</v>
      </c>
      <c r="Y33" s="15">
        <f t="shared" si="20"/>
        <v>0</v>
      </c>
      <c r="Z33" s="15">
        <f t="shared" si="15"/>
        <v>0</v>
      </c>
      <c r="AA33" s="15">
        <f t="shared" si="15"/>
        <v>0</v>
      </c>
      <c r="AB33" s="15">
        <f t="shared" ref="AB33" si="25">AA33</f>
        <v>0</v>
      </c>
      <c r="AC33" s="15">
        <f t="shared" si="17"/>
        <v>0</v>
      </c>
    </row>
    <row r="34" spans="1:29" outlineLevel="1" x14ac:dyDescent="0.25">
      <c r="A34" s="4" t="s">
        <v>247</v>
      </c>
      <c r="B34" s="11" t="s">
        <v>66</v>
      </c>
      <c r="C34" s="24">
        <f t="shared" si="12"/>
        <v>0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7"/>
      <c r="S34" s="15"/>
      <c r="T34" s="15"/>
      <c r="U34" s="15"/>
      <c r="V34" s="15"/>
      <c r="W34" s="68"/>
      <c r="X34" s="63"/>
      <c r="Y34" s="15"/>
      <c r="Z34" s="15"/>
      <c r="AA34" s="15"/>
      <c r="AB34" s="15"/>
      <c r="AC34" s="15"/>
    </row>
    <row r="35" spans="1:29" ht="15.75" x14ac:dyDescent="0.25">
      <c r="A35" s="3" t="s">
        <v>55</v>
      </c>
      <c r="B35" s="9" t="s">
        <v>58</v>
      </c>
      <c r="C35" s="25"/>
      <c r="D35" s="15">
        <f t="shared" ref="D35:V35" si="26">D23-D3</f>
        <v>1436066.6666666665</v>
      </c>
      <c r="E35" s="15">
        <f t="shared" si="26"/>
        <v>2425733.333333333</v>
      </c>
      <c r="F35" s="15">
        <f t="shared" si="26"/>
        <v>3914466.666666667</v>
      </c>
      <c r="G35" s="15">
        <f t="shared" si="26"/>
        <v>6824066.666666667</v>
      </c>
      <c r="H35" s="15">
        <f t="shared" si="26"/>
        <v>7717306.666666667</v>
      </c>
      <c r="I35" s="15">
        <f t="shared" si="26"/>
        <v>9510666.6666666679</v>
      </c>
      <c r="J35" s="15">
        <f t="shared" si="26"/>
        <v>9130666.6666666679</v>
      </c>
      <c r="K35" s="15">
        <f t="shared" si="26"/>
        <v>9510666.6666666679</v>
      </c>
      <c r="L35" s="15">
        <f t="shared" si="26"/>
        <v>9510666.6666666679</v>
      </c>
      <c r="M35" s="15">
        <f t="shared" si="26"/>
        <v>9510666.6666666679</v>
      </c>
      <c r="N35" s="15">
        <f t="shared" si="26"/>
        <v>9510666.6666666679</v>
      </c>
      <c r="O35" s="15">
        <f t="shared" si="26"/>
        <v>9510666.6666666679</v>
      </c>
      <c r="P35" s="15">
        <f t="shared" si="26"/>
        <v>9510666.6666666679</v>
      </c>
      <c r="Q35" s="15">
        <f t="shared" si="26"/>
        <v>9510666.6666666679</v>
      </c>
      <c r="R35" s="17">
        <f t="shared" si="26"/>
        <v>9130666.6666666679</v>
      </c>
      <c r="S35" s="15">
        <f t="shared" si="26"/>
        <v>9510666.6666666679</v>
      </c>
      <c r="T35" s="15">
        <f t="shared" si="26"/>
        <v>9510666.6666666679</v>
      </c>
      <c r="U35" s="15">
        <f t="shared" ref="U35" si="27">U23-U3</f>
        <v>7819560.833333333</v>
      </c>
      <c r="V35" s="15">
        <f t="shared" si="26"/>
        <v>9510666.6666666679</v>
      </c>
      <c r="W35" s="68"/>
      <c r="X35" s="63">
        <f t="shared" ref="X35:AB35" si="28">X23-X3</f>
        <v>88512306.666666657</v>
      </c>
      <c r="Y35" s="15">
        <f t="shared" si="28"/>
        <v>129007121.66666666</v>
      </c>
      <c r="Z35" s="15">
        <f t="shared" si="28"/>
        <v>129007121.66666666</v>
      </c>
      <c r="AA35" s="15">
        <f t="shared" si="28"/>
        <v>129007121.66666666</v>
      </c>
      <c r="AB35" s="15">
        <f t="shared" si="28"/>
        <v>129007121.66666666</v>
      </c>
      <c r="AC35" s="15">
        <f t="shared" ref="AC35" si="29">AC23-AC3</f>
        <v>604540793.33333325</v>
      </c>
    </row>
    <row r="36" spans="1:29" ht="15.75" x14ac:dyDescent="0.25">
      <c r="A36" s="3" t="s">
        <v>57</v>
      </c>
      <c r="B36" s="9" t="s">
        <v>88</v>
      </c>
      <c r="C36" s="25"/>
      <c r="D36" s="15">
        <f>D35</f>
        <v>1436066.6666666665</v>
      </c>
      <c r="E36" s="15">
        <f>D36+E35</f>
        <v>3861799.9999999995</v>
      </c>
      <c r="F36" s="15">
        <f t="shared" ref="F36:U36" si="30">E36+F35</f>
        <v>7776266.666666666</v>
      </c>
      <c r="G36" s="15">
        <f t="shared" si="30"/>
        <v>14600333.333333332</v>
      </c>
      <c r="H36" s="15">
        <f t="shared" si="30"/>
        <v>22317640</v>
      </c>
      <c r="I36" s="15">
        <f t="shared" si="30"/>
        <v>31828306.666666668</v>
      </c>
      <c r="J36" s="15">
        <f t="shared" si="30"/>
        <v>40958973.333333336</v>
      </c>
      <c r="K36" s="15">
        <f t="shared" si="30"/>
        <v>50469640</v>
      </c>
      <c r="L36" s="15">
        <f t="shared" si="30"/>
        <v>59980306.666666672</v>
      </c>
      <c r="M36" s="15">
        <f t="shared" si="30"/>
        <v>69490973.333333343</v>
      </c>
      <c r="N36" s="15">
        <f t="shared" si="30"/>
        <v>79001640.000000015</v>
      </c>
      <c r="O36" s="15">
        <f t="shared" si="30"/>
        <v>88512306.666666687</v>
      </c>
      <c r="P36" s="15">
        <f t="shared" si="30"/>
        <v>98022973.333333358</v>
      </c>
      <c r="Q36" s="15">
        <f t="shared" si="30"/>
        <v>107533640.00000003</v>
      </c>
      <c r="R36" s="17">
        <f t="shared" si="30"/>
        <v>116664306.6666667</v>
      </c>
      <c r="S36" s="15">
        <f t="shared" si="30"/>
        <v>126174973.33333337</v>
      </c>
      <c r="T36" s="15">
        <f t="shared" si="30"/>
        <v>135685640.00000003</v>
      </c>
      <c r="U36" s="15">
        <f t="shared" si="30"/>
        <v>143505200.83333337</v>
      </c>
      <c r="V36" s="15">
        <f>U36+V35</f>
        <v>153015867.50000003</v>
      </c>
      <c r="W36" s="68"/>
      <c r="X36" s="63">
        <f>X23-X3</f>
        <v>88512306.666666657</v>
      </c>
      <c r="Y36" s="15">
        <f t="shared" ref="Y36:AC36" si="31">X36+Y35</f>
        <v>217519428.33333331</v>
      </c>
      <c r="Z36" s="15">
        <f t="shared" si="31"/>
        <v>346526550</v>
      </c>
      <c r="AA36" s="15">
        <f t="shared" si="31"/>
        <v>475533671.66666663</v>
      </c>
      <c r="AB36" s="15">
        <f t="shared" si="31"/>
        <v>604540793.33333325</v>
      </c>
      <c r="AC36" s="15">
        <f t="shared" si="31"/>
        <v>1209081586.6666665</v>
      </c>
    </row>
    <row r="37" spans="1:29" ht="15.75" x14ac:dyDescent="0.25">
      <c r="A37" s="3" t="s">
        <v>59</v>
      </c>
      <c r="B37" s="16" t="s">
        <v>56</v>
      </c>
      <c r="C37" s="26">
        <f>SUM(D37:V37)</f>
        <v>141846150</v>
      </c>
      <c r="D37" s="17">
        <v>1436066.6666666665</v>
      </c>
      <c r="E37" s="17">
        <v>2425733.333333333</v>
      </c>
      <c r="F37" s="17">
        <v>3914466.666666667</v>
      </c>
      <c r="G37" s="17">
        <v>6824066.666666667</v>
      </c>
      <c r="H37" s="17">
        <v>7717306.666666667</v>
      </c>
      <c r="I37" s="17">
        <v>9510666.6666666679</v>
      </c>
      <c r="J37" s="17">
        <v>9130666.6666666679</v>
      </c>
      <c r="K37" s="17">
        <v>9510666.6666666679</v>
      </c>
      <c r="L37" s="17">
        <v>9510666.6666666679</v>
      </c>
      <c r="M37" s="17">
        <v>9510666.6666666679</v>
      </c>
      <c r="N37" s="17">
        <v>9510666.6666666679</v>
      </c>
      <c r="O37" s="17">
        <v>9510666.6666666679</v>
      </c>
      <c r="P37" s="17">
        <v>9510666.6666666679</v>
      </c>
      <c r="Q37" s="17">
        <v>9510666.6666666679</v>
      </c>
      <c r="R37" s="17">
        <v>9130666.6666666679</v>
      </c>
      <c r="S37" s="17">
        <v>9510666.6666666679</v>
      </c>
      <c r="T37" s="17">
        <v>9510666.6666666679</v>
      </c>
      <c r="U37" s="17">
        <v>6160509.9999999702</v>
      </c>
      <c r="V37" s="17"/>
      <c r="W37" s="68"/>
      <c r="X37" s="64">
        <f>SUM(D37:O37)</f>
        <v>88512306.666666687</v>
      </c>
      <c r="Y37" s="17">
        <f>SUM(P37:U37)</f>
        <v>53333843.333333313</v>
      </c>
      <c r="Z37" s="17"/>
      <c r="AA37" s="17"/>
      <c r="AB37" s="17"/>
      <c r="AC37" s="17">
        <f>SUM(X37:AB37)</f>
        <v>141846150</v>
      </c>
    </row>
    <row r="38" spans="1:29" ht="15.75" x14ac:dyDescent="0.25">
      <c r="A38" s="5" t="s">
        <v>62</v>
      </c>
      <c r="B38" s="9" t="s">
        <v>60</v>
      </c>
      <c r="C38" s="25">
        <f>SUM(D38:V38)</f>
        <v>11169717.50000003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7"/>
      <c r="S38" s="17"/>
      <c r="T38" s="17"/>
      <c r="U38" s="17">
        <v>1659050.8333333628</v>
      </c>
      <c r="V38" s="17">
        <v>9510666.6666666679</v>
      </c>
      <c r="W38" s="68"/>
      <c r="X38" s="63"/>
      <c r="Y38" s="15">
        <v>75673278.333333313</v>
      </c>
      <c r="Z38" s="15">
        <v>129007121.66666666</v>
      </c>
      <c r="AA38" s="15">
        <v>129007121.66666666</v>
      </c>
      <c r="AB38" s="15">
        <v>129007121.66666666</v>
      </c>
      <c r="AC38" s="15">
        <f>SUM(X38:AB38)</f>
        <v>462694643.33333325</v>
      </c>
    </row>
    <row r="39" spans="1:29" ht="15.75" x14ac:dyDescent="0.25">
      <c r="A39" s="3" t="s">
        <v>87</v>
      </c>
      <c r="B39" s="12" t="s">
        <v>61</v>
      </c>
      <c r="C39" s="27"/>
      <c r="D39" s="15">
        <f>D35-D37-D38</f>
        <v>0</v>
      </c>
      <c r="E39" s="15">
        <f>E35-E37-E38+D39</f>
        <v>0</v>
      </c>
      <c r="F39" s="15">
        <f t="shared" ref="F39:U39" si="32">F35-F37-F38+E39</f>
        <v>0</v>
      </c>
      <c r="G39" s="15">
        <f t="shared" si="32"/>
        <v>0</v>
      </c>
      <c r="H39" s="15">
        <f t="shared" si="32"/>
        <v>0</v>
      </c>
      <c r="I39" s="15">
        <f t="shared" si="32"/>
        <v>0</v>
      </c>
      <c r="J39" s="15">
        <f t="shared" si="32"/>
        <v>0</v>
      </c>
      <c r="K39" s="15">
        <f t="shared" si="32"/>
        <v>0</v>
      </c>
      <c r="L39" s="15">
        <f t="shared" si="32"/>
        <v>0</v>
      </c>
      <c r="M39" s="15">
        <f t="shared" si="32"/>
        <v>0</v>
      </c>
      <c r="N39" s="15">
        <f t="shared" si="32"/>
        <v>0</v>
      </c>
      <c r="O39" s="15">
        <f t="shared" si="32"/>
        <v>0</v>
      </c>
      <c r="P39" s="15">
        <f t="shared" si="32"/>
        <v>0</v>
      </c>
      <c r="Q39" s="15">
        <f t="shared" si="32"/>
        <v>0</v>
      </c>
      <c r="R39" s="15">
        <f t="shared" si="32"/>
        <v>0</v>
      </c>
      <c r="S39" s="15">
        <f t="shared" si="32"/>
        <v>0</v>
      </c>
      <c r="T39" s="15">
        <f t="shared" si="32"/>
        <v>0</v>
      </c>
      <c r="U39" s="15">
        <f t="shared" si="32"/>
        <v>0</v>
      </c>
      <c r="V39" s="15">
        <f>V35-V37-V38+U39</f>
        <v>0</v>
      </c>
      <c r="W39" s="68"/>
      <c r="X39" s="15">
        <f>X35-X37-X38</f>
        <v>-2.9802322387695313E-8</v>
      </c>
      <c r="Y39" s="15">
        <f>Y35-Y37-Y38+X39</f>
        <v>0</v>
      </c>
      <c r="Z39" s="15">
        <f t="shared" ref="Z39:AB39" si="33">Z35-Z37-Z38+Y39</f>
        <v>0</v>
      </c>
      <c r="AA39" s="15">
        <f t="shared" si="33"/>
        <v>0</v>
      </c>
      <c r="AB39" s="15">
        <f t="shared" si="33"/>
        <v>0</v>
      </c>
      <c r="AC39" s="15">
        <f>SUM(X39:AB39)</f>
        <v>-2.9802322387695313E-8</v>
      </c>
    </row>
    <row r="40" spans="1:29" x14ac:dyDescent="0.25">
      <c r="A40" s="4"/>
      <c r="B40" s="11"/>
      <c r="C40" s="24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68"/>
      <c r="X40" s="63"/>
      <c r="Y40" s="15"/>
      <c r="Z40" s="15"/>
      <c r="AA40" s="15"/>
      <c r="AB40" s="15"/>
      <c r="AC40" s="15"/>
    </row>
    <row r="41" spans="1:29" ht="15.75" thickBot="1" x14ac:dyDescent="0.3">
      <c r="A41" s="4"/>
      <c r="B41" s="10"/>
      <c r="C41" s="2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66"/>
      <c r="X41" s="63"/>
      <c r="Y41" s="15"/>
      <c r="Z41" s="15"/>
      <c r="AA41" s="15"/>
      <c r="AB41" s="15"/>
      <c r="AC41" s="15"/>
    </row>
    <row r="43" spans="1:29" x14ac:dyDescent="0.25">
      <c r="B43" s="31" t="s">
        <v>118</v>
      </c>
      <c r="C43" s="24">
        <f>CAPEX!C3</f>
        <v>141846150</v>
      </c>
      <c r="X43" s="75"/>
      <c r="Y43" s="75"/>
    </row>
    <row r="44" spans="1:29" x14ac:dyDescent="0.25">
      <c r="C44" s="58">
        <f>C43-C37</f>
        <v>0</v>
      </c>
    </row>
    <row r="45" spans="1:29" x14ac:dyDescent="0.25">
      <c r="B45" s="73" t="s">
        <v>269</v>
      </c>
      <c r="C45" s="74" t="s">
        <v>293</v>
      </c>
    </row>
    <row r="46" spans="1:29" x14ac:dyDescent="0.25">
      <c r="B46" s="73" t="s">
        <v>294</v>
      </c>
      <c r="C46" s="74" t="s">
        <v>295</v>
      </c>
    </row>
    <row r="47" spans="1:29" x14ac:dyDescent="0.25">
      <c r="B47" s="73" t="s">
        <v>296</v>
      </c>
      <c r="C47" s="74" t="s">
        <v>297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0"/>
  <sheetViews>
    <sheetView showGridLines="0" zoomScale="80" zoomScaleNormal="80" workbookViewId="0"/>
  </sheetViews>
  <sheetFormatPr defaultRowHeight="15" x14ac:dyDescent="0.25"/>
  <cols>
    <col min="1" max="1" width="5" customWidth="1"/>
    <col min="2" max="2" width="52.85546875" bestFit="1" customWidth="1"/>
    <col min="3" max="3" width="13.85546875" customWidth="1"/>
    <col min="4" max="4" width="13.42578125" customWidth="1"/>
    <col min="5" max="5" width="10.42578125" bestFit="1" customWidth="1"/>
    <col min="6" max="6" width="16.5703125" bestFit="1" customWidth="1"/>
  </cols>
  <sheetData>
    <row r="1" spans="1:6" x14ac:dyDescent="0.25">
      <c r="B1" t="s">
        <v>270</v>
      </c>
    </row>
    <row r="2" spans="1:6" ht="45" x14ac:dyDescent="0.25">
      <c r="A2" s="35" t="s">
        <v>0</v>
      </c>
      <c r="B2" s="35" t="s">
        <v>1</v>
      </c>
      <c r="C2" s="35" t="s">
        <v>134</v>
      </c>
      <c r="D2" s="35" t="s">
        <v>135</v>
      </c>
      <c r="E2" s="35" t="s">
        <v>136</v>
      </c>
      <c r="F2" s="35" t="s">
        <v>137</v>
      </c>
    </row>
    <row r="3" spans="1:6" x14ac:dyDescent="0.25">
      <c r="A3" s="39">
        <v>1</v>
      </c>
      <c r="B3" s="37" t="s">
        <v>138</v>
      </c>
      <c r="C3" s="34"/>
      <c r="D3" s="40"/>
      <c r="E3" s="40"/>
      <c r="F3" s="40"/>
    </row>
    <row r="4" spans="1:6" x14ac:dyDescent="0.25">
      <c r="A4" s="42" t="s">
        <v>22</v>
      </c>
      <c r="B4" s="18" t="s">
        <v>276</v>
      </c>
      <c r="C4" s="32">
        <v>132</v>
      </c>
      <c r="D4" s="41">
        <v>15000000</v>
      </c>
      <c r="E4" s="41">
        <v>0</v>
      </c>
      <c r="F4" s="41">
        <f>D4*E4</f>
        <v>0</v>
      </c>
    </row>
    <row r="5" spans="1:6" x14ac:dyDescent="0.25">
      <c r="A5" s="42" t="s">
        <v>23</v>
      </c>
      <c r="B5" s="18" t="s">
        <v>281</v>
      </c>
      <c r="C5" s="32">
        <v>2</v>
      </c>
      <c r="D5" s="41">
        <v>1800000</v>
      </c>
      <c r="E5" s="41">
        <v>2</v>
      </c>
      <c r="F5" s="41">
        <f t="shared" ref="F5:F6" si="0">D5*E5</f>
        <v>3600000</v>
      </c>
    </row>
    <row r="6" spans="1:6" x14ac:dyDescent="0.25">
      <c r="A6" s="42" t="s">
        <v>24</v>
      </c>
      <c r="B6" s="70" t="s">
        <v>282</v>
      </c>
      <c r="C6" s="32">
        <v>6</v>
      </c>
      <c r="D6" s="41">
        <v>3170000</v>
      </c>
      <c r="E6" s="41">
        <v>2</v>
      </c>
      <c r="F6" s="41">
        <f t="shared" si="0"/>
        <v>6340000</v>
      </c>
    </row>
    <row r="7" spans="1:6" x14ac:dyDescent="0.25">
      <c r="A7" s="38"/>
      <c r="B7" s="43" t="s">
        <v>139</v>
      </c>
      <c r="C7" s="45">
        <f>SUM(C5:C6)</f>
        <v>8</v>
      </c>
      <c r="D7" s="41"/>
      <c r="E7" s="41"/>
      <c r="F7" s="44">
        <f>SUM(F4:F6)</f>
        <v>9940000</v>
      </c>
    </row>
    <row r="8" spans="1:6" x14ac:dyDescent="0.25">
      <c r="A8" s="39" t="s">
        <v>143</v>
      </c>
      <c r="B8" s="37" t="s">
        <v>140</v>
      </c>
      <c r="C8" s="34"/>
      <c r="D8" s="40"/>
      <c r="E8" s="40"/>
      <c r="F8" s="40"/>
    </row>
    <row r="9" spans="1:6" x14ac:dyDescent="0.25">
      <c r="A9" s="42" t="s">
        <v>77</v>
      </c>
      <c r="B9" s="18" t="s">
        <v>262</v>
      </c>
      <c r="C9" s="32"/>
      <c r="D9" s="41">
        <v>450000</v>
      </c>
      <c r="E9" s="41">
        <v>1</v>
      </c>
      <c r="F9" s="41">
        <f>D9*E9</f>
        <v>450000</v>
      </c>
    </row>
    <row r="10" spans="1:6" x14ac:dyDescent="0.25">
      <c r="A10" s="42" t="s">
        <v>78</v>
      </c>
      <c r="B10" s="18" t="s">
        <v>285</v>
      </c>
      <c r="C10" s="32">
        <v>-37</v>
      </c>
      <c r="D10" s="41">
        <v>31000000</v>
      </c>
      <c r="E10" s="41">
        <v>0</v>
      </c>
      <c r="F10" s="41">
        <f t="shared" ref="F10:F15" si="1">D10*E10</f>
        <v>0</v>
      </c>
    </row>
    <row r="11" spans="1:6" x14ac:dyDescent="0.25">
      <c r="A11" s="42" t="s">
        <v>79</v>
      </c>
      <c r="B11" s="18" t="s">
        <v>287</v>
      </c>
      <c r="C11" s="32"/>
      <c r="D11" s="41">
        <v>1100000</v>
      </c>
      <c r="E11" s="41">
        <v>1</v>
      </c>
      <c r="F11" s="41">
        <f t="shared" si="1"/>
        <v>1100000</v>
      </c>
    </row>
    <row r="12" spans="1:6" x14ac:dyDescent="0.25">
      <c r="A12" s="42" t="s">
        <v>80</v>
      </c>
      <c r="B12" s="18" t="s">
        <v>141</v>
      </c>
      <c r="C12" s="32">
        <v>-8</v>
      </c>
      <c r="D12" s="41">
        <v>1960000</v>
      </c>
      <c r="E12" s="41">
        <v>0</v>
      </c>
      <c r="F12" s="41">
        <f t="shared" si="1"/>
        <v>0</v>
      </c>
    </row>
    <row r="13" spans="1:6" x14ac:dyDescent="0.25">
      <c r="A13" s="42" t="s">
        <v>81</v>
      </c>
      <c r="B13" s="18" t="s">
        <v>142</v>
      </c>
      <c r="C13" s="32">
        <v>-10</v>
      </c>
      <c r="D13" s="41">
        <v>2415000</v>
      </c>
      <c r="E13" s="41">
        <v>0</v>
      </c>
      <c r="F13" s="41">
        <f t="shared" si="1"/>
        <v>0</v>
      </c>
    </row>
    <row r="14" spans="1:6" x14ac:dyDescent="0.25">
      <c r="A14" s="42" t="s">
        <v>82</v>
      </c>
      <c r="B14" s="18" t="s">
        <v>260</v>
      </c>
      <c r="C14" s="32">
        <v>-5</v>
      </c>
      <c r="D14" s="41">
        <v>2750000</v>
      </c>
      <c r="E14" s="41">
        <v>0</v>
      </c>
      <c r="F14" s="41">
        <f t="shared" si="1"/>
        <v>0</v>
      </c>
    </row>
    <row r="15" spans="1:6" x14ac:dyDescent="0.25">
      <c r="A15" s="42" t="s">
        <v>83</v>
      </c>
      <c r="B15" s="18" t="s">
        <v>256</v>
      </c>
      <c r="C15" s="32"/>
      <c r="D15" s="41">
        <v>830000</v>
      </c>
      <c r="E15" s="41">
        <v>0</v>
      </c>
      <c r="F15" s="41">
        <f t="shared" si="1"/>
        <v>0</v>
      </c>
    </row>
    <row r="16" spans="1:6" x14ac:dyDescent="0.25">
      <c r="A16" s="38"/>
      <c r="B16" s="43" t="s">
        <v>139</v>
      </c>
      <c r="C16" s="45">
        <f>SUM(C9:C15)</f>
        <v>-60</v>
      </c>
      <c r="D16" s="41"/>
      <c r="E16" s="41"/>
      <c r="F16" s="44">
        <f>SUM(F9:F15)</f>
        <v>1550000</v>
      </c>
    </row>
    <row r="17" spans="1:6" x14ac:dyDescent="0.25">
      <c r="A17" s="39">
        <v>3</v>
      </c>
      <c r="B17" s="37" t="s">
        <v>144</v>
      </c>
      <c r="C17" s="34"/>
      <c r="D17" s="40"/>
      <c r="E17" s="40"/>
      <c r="F17" s="40"/>
    </row>
    <row r="18" spans="1:6" x14ac:dyDescent="0.25">
      <c r="A18" s="42" t="s">
        <v>149</v>
      </c>
      <c r="B18" s="18" t="s">
        <v>288</v>
      </c>
      <c r="C18" s="32">
        <v>60</v>
      </c>
      <c r="D18" s="41">
        <v>59000000</v>
      </c>
      <c r="E18" s="41">
        <v>1</v>
      </c>
      <c r="F18" s="41">
        <f>D18*E18</f>
        <v>59000000</v>
      </c>
    </row>
    <row r="19" spans="1:6" x14ac:dyDescent="0.25">
      <c r="A19" s="42" t="s">
        <v>150</v>
      </c>
      <c r="B19" s="18" t="s">
        <v>145</v>
      </c>
      <c r="C19" s="32">
        <v>15</v>
      </c>
      <c r="D19" s="41">
        <v>4180000</v>
      </c>
      <c r="E19" s="41">
        <v>1</v>
      </c>
      <c r="F19" s="41">
        <f t="shared" ref="F19:F24" si="2">D19*E19</f>
        <v>4180000</v>
      </c>
    </row>
    <row r="20" spans="1:6" x14ac:dyDescent="0.25">
      <c r="A20" s="42" t="s">
        <v>153</v>
      </c>
      <c r="B20" s="18" t="s">
        <v>146</v>
      </c>
      <c r="C20" s="32">
        <v>5</v>
      </c>
      <c r="D20" s="41">
        <v>2970000</v>
      </c>
      <c r="E20" s="41">
        <v>1</v>
      </c>
      <c r="F20" s="41">
        <f t="shared" si="2"/>
        <v>2970000</v>
      </c>
    </row>
    <row r="21" spans="1:6" x14ac:dyDescent="0.25">
      <c r="A21" s="42" t="s">
        <v>154</v>
      </c>
      <c r="B21" s="18" t="s">
        <v>147</v>
      </c>
      <c r="C21" s="32">
        <v>7</v>
      </c>
      <c r="D21" s="41">
        <v>4600000</v>
      </c>
      <c r="E21" s="41">
        <v>1</v>
      </c>
      <c r="F21" s="41">
        <f t="shared" si="2"/>
        <v>4600000</v>
      </c>
    </row>
    <row r="22" spans="1:6" x14ac:dyDescent="0.25">
      <c r="A22" s="42" t="s">
        <v>155</v>
      </c>
      <c r="B22" s="18" t="s">
        <v>148</v>
      </c>
      <c r="C22" s="32">
        <v>-10</v>
      </c>
      <c r="D22" s="41">
        <v>3100000</v>
      </c>
      <c r="E22" s="41">
        <v>0</v>
      </c>
      <c r="F22" s="41">
        <f t="shared" si="2"/>
        <v>0</v>
      </c>
    </row>
    <row r="23" spans="1:6" x14ac:dyDescent="0.25">
      <c r="A23" s="42" t="s">
        <v>156</v>
      </c>
      <c r="B23" s="18" t="s">
        <v>255</v>
      </c>
      <c r="C23" s="32">
        <v>10</v>
      </c>
      <c r="D23" s="41">
        <v>3700000</v>
      </c>
      <c r="E23" s="41">
        <v>1</v>
      </c>
      <c r="F23" s="41">
        <f t="shared" si="2"/>
        <v>3700000</v>
      </c>
    </row>
    <row r="24" spans="1:6" x14ac:dyDescent="0.25">
      <c r="A24" s="101" t="s">
        <v>289</v>
      </c>
      <c r="B24" s="98" t="s">
        <v>307</v>
      </c>
      <c r="C24" s="99"/>
      <c r="D24" s="100">
        <v>2600000</v>
      </c>
      <c r="E24" s="100">
        <v>1</v>
      </c>
      <c r="F24" s="100">
        <f t="shared" si="2"/>
        <v>2600000</v>
      </c>
    </row>
    <row r="25" spans="1:6" x14ac:dyDescent="0.25">
      <c r="A25" s="38"/>
      <c r="B25" s="43" t="s">
        <v>139</v>
      </c>
      <c r="C25" s="45">
        <f>SUM(C18:C23)</f>
        <v>87</v>
      </c>
      <c r="D25" s="41"/>
      <c r="E25" s="41"/>
      <c r="F25" s="44">
        <f>SUM(F18:F24)</f>
        <v>77050000</v>
      </c>
    </row>
    <row r="26" spans="1:6" x14ac:dyDescent="0.25">
      <c r="A26" s="39">
        <v>4</v>
      </c>
      <c r="B26" s="37" t="s">
        <v>157</v>
      </c>
      <c r="C26" s="34"/>
      <c r="D26" s="40"/>
      <c r="E26" s="40"/>
      <c r="F26" s="40"/>
    </row>
    <row r="27" spans="1:6" x14ac:dyDescent="0.25">
      <c r="A27" s="42" t="s">
        <v>158</v>
      </c>
      <c r="B27" s="18" t="s">
        <v>283</v>
      </c>
      <c r="C27" s="32"/>
      <c r="D27" s="41">
        <v>14000000</v>
      </c>
      <c r="E27" s="41">
        <v>1</v>
      </c>
      <c r="F27" s="41">
        <f>E27*D27</f>
        <v>14000000</v>
      </c>
    </row>
    <row r="28" spans="1:6" x14ac:dyDescent="0.25">
      <c r="A28" s="38"/>
      <c r="B28" s="43" t="s">
        <v>139</v>
      </c>
      <c r="C28" s="45"/>
      <c r="D28" s="41"/>
      <c r="E28" s="41"/>
      <c r="F28" s="44">
        <f>F27</f>
        <v>14000000</v>
      </c>
    </row>
    <row r="29" spans="1:6" x14ac:dyDescent="0.25">
      <c r="A29" s="39">
        <v>5</v>
      </c>
      <c r="B29" s="37" t="s">
        <v>160</v>
      </c>
      <c r="C29" s="34"/>
      <c r="D29" s="40"/>
      <c r="E29" s="40"/>
      <c r="F29" s="40"/>
    </row>
    <row r="30" spans="1:6" x14ac:dyDescent="0.25">
      <c r="A30" s="42" t="s">
        <v>152</v>
      </c>
      <c r="B30" s="18" t="s">
        <v>161</v>
      </c>
      <c r="C30" s="32">
        <v>-60</v>
      </c>
      <c r="D30" s="41">
        <v>15730000</v>
      </c>
      <c r="E30" s="41">
        <v>0</v>
      </c>
      <c r="F30" s="41">
        <f>E30*D30</f>
        <v>0</v>
      </c>
    </row>
    <row r="31" spans="1:6" x14ac:dyDescent="0.25">
      <c r="A31" s="42" t="s">
        <v>168</v>
      </c>
      <c r="B31" s="18" t="s">
        <v>162</v>
      </c>
      <c r="C31" s="32">
        <v>5</v>
      </c>
      <c r="D31" s="41">
        <v>2190000</v>
      </c>
      <c r="E31" s="41">
        <v>1</v>
      </c>
      <c r="F31" s="41">
        <f t="shared" ref="F31:F39" si="3">E31*D31</f>
        <v>2190000</v>
      </c>
    </row>
    <row r="32" spans="1:6" x14ac:dyDescent="0.25">
      <c r="A32" s="42" t="s">
        <v>169</v>
      </c>
      <c r="B32" s="18" t="s">
        <v>163</v>
      </c>
      <c r="C32" s="32">
        <v>5</v>
      </c>
      <c r="D32" s="41">
        <v>2010000</v>
      </c>
      <c r="E32" s="41">
        <v>1</v>
      </c>
      <c r="F32" s="41">
        <f t="shared" si="3"/>
        <v>2010000</v>
      </c>
    </row>
    <row r="33" spans="1:6" x14ac:dyDescent="0.25">
      <c r="A33" s="42" t="s">
        <v>170</v>
      </c>
      <c r="B33" s="18" t="s">
        <v>164</v>
      </c>
      <c r="C33" s="32">
        <v>-60</v>
      </c>
      <c r="D33" s="41">
        <v>12900000</v>
      </c>
      <c r="E33" s="41">
        <v>0</v>
      </c>
      <c r="F33" s="41">
        <f t="shared" si="3"/>
        <v>0</v>
      </c>
    </row>
    <row r="34" spans="1:6" x14ac:dyDescent="0.25">
      <c r="A34" s="42" t="s">
        <v>171</v>
      </c>
      <c r="B34" s="18" t="s">
        <v>258</v>
      </c>
      <c r="C34" s="32"/>
      <c r="D34" s="41">
        <v>5920000</v>
      </c>
      <c r="E34" s="41">
        <v>1</v>
      </c>
      <c r="F34" s="41">
        <f t="shared" si="3"/>
        <v>5920000</v>
      </c>
    </row>
    <row r="35" spans="1:6" x14ac:dyDescent="0.25">
      <c r="A35" s="42" t="s">
        <v>172</v>
      </c>
      <c r="B35" s="69" t="s">
        <v>165</v>
      </c>
      <c r="C35" s="71"/>
      <c r="D35" s="72">
        <v>-69980000</v>
      </c>
      <c r="E35" s="72">
        <v>0</v>
      </c>
      <c r="F35" s="41">
        <f t="shared" si="3"/>
        <v>0</v>
      </c>
    </row>
    <row r="36" spans="1:6" x14ac:dyDescent="0.25">
      <c r="A36" s="42" t="s">
        <v>173</v>
      </c>
      <c r="B36" s="69" t="s">
        <v>166</v>
      </c>
      <c r="C36" s="32"/>
      <c r="D36" s="72">
        <v>-4175000</v>
      </c>
      <c r="E36" s="72">
        <v>0</v>
      </c>
      <c r="F36" s="41">
        <f t="shared" si="3"/>
        <v>0</v>
      </c>
    </row>
    <row r="37" spans="1:6" x14ac:dyDescent="0.25">
      <c r="A37" s="42" t="s">
        <v>109</v>
      </c>
      <c r="B37" s="18" t="s">
        <v>257</v>
      </c>
      <c r="C37" s="32">
        <v>-140</v>
      </c>
      <c r="D37" s="41">
        <v>6500000</v>
      </c>
      <c r="E37" s="41">
        <v>0</v>
      </c>
      <c r="F37" s="41">
        <f t="shared" si="3"/>
        <v>0</v>
      </c>
    </row>
    <row r="38" spans="1:6" x14ac:dyDescent="0.25">
      <c r="A38" s="42" t="s">
        <v>174</v>
      </c>
      <c r="B38" s="18" t="s">
        <v>167</v>
      </c>
      <c r="C38" s="32">
        <v>-5</v>
      </c>
      <c r="D38" s="41">
        <v>3300000</v>
      </c>
      <c r="E38" s="41">
        <v>0</v>
      </c>
      <c r="F38" s="41">
        <f t="shared" si="3"/>
        <v>0</v>
      </c>
    </row>
    <row r="39" spans="1:6" x14ac:dyDescent="0.25">
      <c r="A39" s="42" t="s">
        <v>175</v>
      </c>
      <c r="B39" s="18" t="s">
        <v>259</v>
      </c>
      <c r="C39" s="32"/>
      <c r="D39" s="41">
        <v>5920000</v>
      </c>
      <c r="E39" s="41">
        <v>1</v>
      </c>
      <c r="F39" s="41">
        <f t="shared" si="3"/>
        <v>5920000</v>
      </c>
    </row>
    <row r="40" spans="1:6" x14ac:dyDescent="0.25">
      <c r="A40" s="38"/>
      <c r="B40" s="43" t="s">
        <v>139</v>
      </c>
      <c r="C40" s="45">
        <f>SUM(C30:C39)</f>
        <v>-255</v>
      </c>
      <c r="D40" s="41"/>
      <c r="E40" s="41"/>
      <c r="F40" s="44">
        <f>SUM(F30:F39)</f>
        <v>16040000</v>
      </c>
    </row>
    <row r="41" spans="1:6" x14ac:dyDescent="0.25">
      <c r="A41" s="39">
        <v>6</v>
      </c>
      <c r="B41" s="37" t="s">
        <v>176</v>
      </c>
      <c r="C41" s="34"/>
      <c r="D41" s="40"/>
      <c r="E41" s="40"/>
      <c r="F41" s="40"/>
    </row>
    <row r="42" spans="1:6" x14ac:dyDescent="0.25">
      <c r="A42" s="42" t="s">
        <v>183</v>
      </c>
      <c r="B42" s="18" t="s">
        <v>177</v>
      </c>
      <c r="C42" s="32">
        <v>15</v>
      </c>
      <c r="D42" s="41">
        <v>3100000</v>
      </c>
      <c r="E42" s="41">
        <v>1</v>
      </c>
      <c r="F42" s="41">
        <f>D42*E42</f>
        <v>3100000</v>
      </c>
    </row>
    <row r="43" spans="1:6" x14ac:dyDescent="0.25">
      <c r="A43" s="42" t="s">
        <v>185</v>
      </c>
      <c r="B43" s="18" t="s">
        <v>178</v>
      </c>
      <c r="C43" s="32">
        <v>20</v>
      </c>
      <c r="D43" s="41">
        <v>1850000</v>
      </c>
      <c r="E43" s="41">
        <v>1</v>
      </c>
      <c r="F43" s="41">
        <f t="shared" ref="F43:F48" si="4">D43*E43</f>
        <v>1850000</v>
      </c>
    </row>
    <row r="44" spans="1:6" x14ac:dyDescent="0.25">
      <c r="A44" s="42" t="s">
        <v>184</v>
      </c>
      <c r="B44" s="18" t="s">
        <v>179</v>
      </c>
      <c r="C44" s="32">
        <v>5</v>
      </c>
      <c r="D44" s="41">
        <v>635000</v>
      </c>
      <c r="E44" s="41">
        <v>0</v>
      </c>
      <c r="F44" s="41">
        <f t="shared" si="4"/>
        <v>0</v>
      </c>
    </row>
    <row r="45" spans="1:6" x14ac:dyDescent="0.25">
      <c r="A45" s="42" t="s">
        <v>186</v>
      </c>
      <c r="B45" s="18" t="s">
        <v>261</v>
      </c>
      <c r="C45" s="32">
        <v>8</v>
      </c>
      <c r="D45" s="41">
        <v>3985000</v>
      </c>
      <c r="E45" s="41">
        <v>0</v>
      </c>
      <c r="F45" s="41">
        <f t="shared" si="4"/>
        <v>0</v>
      </c>
    </row>
    <row r="46" spans="1:6" x14ac:dyDescent="0.25">
      <c r="A46" s="42" t="s">
        <v>187</v>
      </c>
      <c r="B46" s="18" t="s">
        <v>180</v>
      </c>
      <c r="C46" s="32">
        <v>15</v>
      </c>
      <c r="D46" s="41">
        <v>1660000</v>
      </c>
      <c r="E46" s="41">
        <v>1</v>
      </c>
      <c r="F46" s="41">
        <f t="shared" si="4"/>
        <v>1660000</v>
      </c>
    </row>
    <row r="47" spans="1:6" x14ac:dyDescent="0.25">
      <c r="A47" s="42" t="s">
        <v>188</v>
      </c>
      <c r="B47" s="18" t="s">
        <v>181</v>
      </c>
      <c r="C47" s="32">
        <v>5</v>
      </c>
      <c r="D47" s="41">
        <v>900000</v>
      </c>
      <c r="E47" s="41">
        <v>0</v>
      </c>
      <c r="F47" s="41">
        <f t="shared" si="4"/>
        <v>0</v>
      </c>
    </row>
    <row r="48" spans="1:6" x14ac:dyDescent="0.25">
      <c r="A48" s="42" t="s">
        <v>189</v>
      </c>
      <c r="B48" s="18" t="s">
        <v>182</v>
      </c>
      <c r="C48" s="32">
        <v>8</v>
      </c>
      <c r="D48" s="41">
        <v>900000</v>
      </c>
      <c r="E48" s="41">
        <v>0</v>
      </c>
      <c r="F48" s="41">
        <f t="shared" si="4"/>
        <v>0</v>
      </c>
    </row>
    <row r="49" spans="1:6" x14ac:dyDescent="0.25">
      <c r="A49" s="38"/>
      <c r="B49" s="43" t="s">
        <v>139</v>
      </c>
      <c r="C49" s="45">
        <f>SUM(C42:C48)</f>
        <v>76</v>
      </c>
      <c r="D49" s="41"/>
      <c r="E49" s="41"/>
      <c r="F49" s="44">
        <f>SUM(F42:F48)</f>
        <v>6610000</v>
      </c>
    </row>
    <row r="50" spans="1:6" x14ac:dyDescent="0.25">
      <c r="A50" s="39">
        <v>7</v>
      </c>
      <c r="B50" s="37" t="s">
        <v>190</v>
      </c>
      <c r="C50" s="34"/>
      <c r="D50" s="40"/>
      <c r="E50" s="40"/>
      <c r="F50" s="40"/>
    </row>
    <row r="51" spans="1:6" x14ac:dyDescent="0.25">
      <c r="A51" s="42" t="s">
        <v>151</v>
      </c>
      <c r="B51" s="18" t="s">
        <v>191</v>
      </c>
      <c r="C51" s="32">
        <v>-15</v>
      </c>
      <c r="D51" s="41">
        <v>4770000</v>
      </c>
      <c r="E51" s="41">
        <v>0</v>
      </c>
      <c r="F51" s="41">
        <f>D51*E51</f>
        <v>0</v>
      </c>
    </row>
    <row r="52" spans="1:6" x14ac:dyDescent="0.25">
      <c r="A52" s="42" t="s">
        <v>193</v>
      </c>
      <c r="B52" s="18" t="s">
        <v>284</v>
      </c>
      <c r="C52" s="32"/>
      <c r="D52" s="41">
        <v>1000000</v>
      </c>
      <c r="E52" s="41">
        <v>0</v>
      </c>
      <c r="F52" s="41">
        <f t="shared" ref="F52:F53" si="5">D52*E52</f>
        <v>0</v>
      </c>
    </row>
    <row r="53" spans="1:6" x14ac:dyDescent="0.25">
      <c r="A53" s="42" t="s">
        <v>194</v>
      </c>
      <c r="B53" s="18" t="s">
        <v>192</v>
      </c>
      <c r="C53" s="32">
        <v>-10</v>
      </c>
      <c r="D53" s="41">
        <v>4560000</v>
      </c>
      <c r="E53" s="41">
        <v>0</v>
      </c>
      <c r="F53" s="41">
        <f t="shared" si="5"/>
        <v>0</v>
      </c>
    </row>
    <row r="54" spans="1:6" x14ac:dyDescent="0.25">
      <c r="A54" s="38"/>
      <c r="B54" s="43" t="s">
        <v>139</v>
      </c>
      <c r="C54" s="45">
        <f>SUM(C51:C53)</f>
        <v>-25</v>
      </c>
      <c r="D54" s="41"/>
      <c r="E54" s="41"/>
      <c r="F54" s="44">
        <f>SUM(F51:F53)</f>
        <v>0</v>
      </c>
    </row>
    <row r="55" spans="1:6" x14ac:dyDescent="0.25">
      <c r="A55" s="39">
        <v>8</v>
      </c>
      <c r="B55" s="37" t="s">
        <v>196</v>
      </c>
      <c r="C55" s="34"/>
      <c r="D55" s="40"/>
      <c r="E55" s="40"/>
      <c r="F55" s="40"/>
    </row>
    <row r="56" spans="1:6" x14ac:dyDescent="0.25">
      <c r="A56" s="42" t="s">
        <v>198</v>
      </c>
      <c r="B56" s="18" t="s">
        <v>197</v>
      </c>
      <c r="C56" s="32">
        <v>2</v>
      </c>
      <c r="D56" s="41">
        <v>6200000</v>
      </c>
      <c r="E56" s="41">
        <v>1</v>
      </c>
      <c r="F56" s="41">
        <f>D56</f>
        <v>6200000</v>
      </c>
    </row>
    <row r="57" spans="1:6" x14ac:dyDescent="0.25">
      <c r="A57" s="38"/>
      <c r="B57" s="43" t="s">
        <v>139</v>
      </c>
      <c r="C57" s="45">
        <f>SUM(C56)</f>
        <v>2</v>
      </c>
      <c r="D57" s="41"/>
      <c r="E57" s="41"/>
      <c r="F57" s="44">
        <f>SUM(F56)</f>
        <v>6200000</v>
      </c>
    </row>
    <row r="58" spans="1:6" x14ac:dyDescent="0.25">
      <c r="A58" s="39">
        <v>9</v>
      </c>
      <c r="B58" s="37" t="s">
        <v>199</v>
      </c>
      <c r="C58" s="34"/>
      <c r="D58" s="40"/>
      <c r="E58" s="40"/>
      <c r="F58" s="40"/>
    </row>
    <row r="59" spans="1:6" x14ac:dyDescent="0.25">
      <c r="A59" s="42" t="s">
        <v>201</v>
      </c>
      <c r="B59" s="69" t="s">
        <v>200</v>
      </c>
      <c r="C59" s="32">
        <v>5</v>
      </c>
      <c r="D59" s="41">
        <v>4500000</v>
      </c>
      <c r="E59" s="41">
        <v>1</v>
      </c>
      <c r="F59" s="41">
        <f>D59*E59</f>
        <v>4500000</v>
      </c>
    </row>
    <row r="60" spans="1:6" x14ac:dyDescent="0.25">
      <c r="A60" s="38"/>
      <c r="B60" s="43" t="s">
        <v>139</v>
      </c>
      <c r="C60" s="45">
        <f>SUM(C59)</f>
        <v>5</v>
      </c>
      <c r="D60" s="41"/>
      <c r="E60" s="41"/>
      <c r="F60" s="44">
        <f>SUM(F59)</f>
        <v>4500000</v>
      </c>
    </row>
    <row r="61" spans="1:6" x14ac:dyDescent="0.25">
      <c r="A61" s="39">
        <v>10</v>
      </c>
      <c r="B61" s="37" t="s">
        <v>202</v>
      </c>
      <c r="C61" s="34"/>
      <c r="D61" s="40"/>
      <c r="E61" s="40"/>
      <c r="F61" s="40"/>
    </row>
    <row r="62" spans="1:6" x14ac:dyDescent="0.25">
      <c r="A62" s="42" t="s">
        <v>206</v>
      </c>
      <c r="B62" s="69" t="s">
        <v>203</v>
      </c>
      <c r="C62" s="32"/>
      <c r="D62" s="72">
        <v>-12000000</v>
      </c>
      <c r="E62" s="41">
        <v>0</v>
      </c>
      <c r="F62" s="72">
        <f>D62*E62</f>
        <v>0</v>
      </c>
    </row>
    <row r="63" spans="1:6" x14ac:dyDescent="0.25">
      <c r="A63" s="42" t="s">
        <v>207</v>
      </c>
      <c r="B63" s="69" t="s">
        <v>204</v>
      </c>
      <c r="C63" s="32"/>
      <c r="D63" s="72">
        <v>-8000000</v>
      </c>
      <c r="E63" s="41">
        <v>0</v>
      </c>
      <c r="F63" s="72">
        <f t="shared" ref="F63:F64" si="6">D63*E63</f>
        <v>0</v>
      </c>
    </row>
    <row r="64" spans="1:6" x14ac:dyDescent="0.25">
      <c r="A64" s="42" t="s">
        <v>208</v>
      </c>
      <c r="B64" s="69" t="s">
        <v>205</v>
      </c>
      <c r="C64" s="32"/>
      <c r="D64" s="72">
        <v>-3500000</v>
      </c>
      <c r="E64" s="41">
        <v>0</v>
      </c>
      <c r="F64" s="72">
        <f t="shared" si="6"/>
        <v>0</v>
      </c>
    </row>
    <row r="65" spans="1:6" x14ac:dyDescent="0.25">
      <c r="A65" s="42"/>
      <c r="B65" s="43" t="s">
        <v>139</v>
      </c>
      <c r="C65" s="45">
        <f>SUM(C62:C64)</f>
        <v>0</v>
      </c>
      <c r="D65" s="41"/>
      <c r="E65" s="41"/>
      <c r="F65" s="44">
        <f>SUM(F62:F64)</f>
        <v>0</v>
      </c>
    </row>
    <row r="66" spans="1:6" x14ac:dyDescent="0.25">
      <c r="A66" s="39">
        <v>11</v>
      </c>
      <c r="B66" s="37" t="s">
        <v>209</v>
      </c>
      <c r="C66" s="34"/>
      <c r="D66" s="40"/>
      <c r="E66" s="40"/>
      <c r="F66" s="40"/>
    </row>
    <row r="67" spans="1:6" x14ac:dyDescent="0.25">
      <c r="A67" s="42" t="s">
        <v>210</v>
      </c>
      <c r="B67" s="69" t="s">
        <v>277</v>
      </c>
      <c r="C67" s="71">
        <v>-95</v>
      </c>
      <c r="D67" s="72">
        <v>-21767000</v>
      </c>
      <c r="E67" s="72"/>
      <c r="F67" s="41">
        <f>D67*E67</f>
        <v>0</v>
      </c>
    </row>
    <row r="68" spans="1:6" x14ac:dyDescent="0.25">
      <c r="A68" s="42"/>
      <c r="B68" s="18"/>
      <c r="C68" s="32"/>
      <c r="D68" s="41"/>
      <c r="E68" s="41"/>
      <c r="F68" s="41">
        <f t="shared" ref="F68" si="7">D68*E68</f>
        <v>0</v>
      </c>
    </row>
    <row r="69" spans="1:6" x14ac:dyDescent="0.25">
      <c r="A69" s="42"/>
      <c r="B69" s="43" t="s">
        <v>139</v>
      </c>
      <c r="C69" s="45">
        <f>SUM(C67:C68)</f>
        <v>-95</v>
      </c>
      <c r="D69" s="41"/>
      <c r="E69" s="41"/>
      <c r="F69" s="44">
        <f>SUM(F67:F68)</f>
        <v>0</v>
      </c>
    </row>
    <row r="70" spans="1:6" ht="18.75" x14ac:dyDescent="0.3">
      <c r="A70" s="51"/>
      <c r="B70" s="52" t="s">
        <v>211</v>
      </c>
      <c r="C70" s="53"/>
      <c r="D70" s="54"/>
      <c r="E70" s="54"/>
      <c r="F70" s="55">
        <f>F7+F16+F25+F28+F40+F49+F54+F57+F60+F65+F69</f>
        <v>135890000</v>
      </c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showGridLines="0" zoomScale="90" zoomScaleNormal="90" workbookViewId="0"/>
  </sheetViews>
  <sheetFormatPr defaultRowHeight="15" x14ac:dyDescent="0.25"/>
  <cols>
    <col min="1" max="1" width="3.42578125" customWidth="1"/>
    <col min="2" max="2" width="48.85546875" bestFit="1" customWidth="1"/>
    <col min="3" max="3" width="11.140625" customWidth="1"/>
    <col min="4" max="4" width="11.42578125" customWidth="1"/>
    <col min="6" max="6" width="11.42578125" customWidth="1"/>
  </cols>
  <sheetData>
    <row r="1" spans="1:6" x14ac:dyDescent="0.25">
      <c r="B1" t="s">
        <v>271</v>
      </c>
    </row>
    <row r="2" spans="1:6" ht="30" x14ac:dyDescent="0.25">
      <c r="A2" s="46" t="s">
        <v>0</v>
      </c>
      <c r="B2" s="47" t="s">
        <v>1</v>
      </c>
      <c r="C2" s="47" t="s">
        <v>119</v>
      </c>
      <c r="D2" s="47" t="s">
        <v>120</v>
      </c>
      <c r="E2" s="47" t="s">
        <v>121</v>
      </c>
      <c r="F2" s="47" t="s">
        <v>122</v>
      </c>
    </row>
    <row r="3" spans="1:6" x14ac:dyDescent="0.25">
      <c r="A3" s="32">
        <v>1</v>
      </c>
      <c r="B3" s="18" t="s">
        <v>123</v>
      </c>
      <c r="C3" s="32">
        <v>1</v>
      </c>
      <c r="D3" s="32">
        <v>1</v>
      </c>
      <c r="E3" s="33">
        <v>200000</v>
      </c>
      <c r="F3" s="33">
        <f>E3*D3</f>
        <v>200000</v>
      </c>
    </row>
    <row r="4" spans="1:6" x14ac:dyDescent="0.25">
      <c r="A4" s="32">
        <v>2</v>
      </c>
      <c r="B4" s="18" t="s">
        <v>213</v>
      </c>
      <c r="C4" s="32">
        <v>1</v>
      </c>
      <c r="D4" s="32">
        <v>1</v>
      </c>
      <c r="E4" s="33">
        <v>150000</v>
      </c>
      <c r="F4" s="33">
        <f t="shared" ref="F4:F44" si="0">E4*D4</f>
        <v>150000</v>
      </c>
    </row>
    <row r="5" spans="1:6" x14ac:dyDescent="0.25">
      <c r="A5" s="32">
        <v>3</v>
      </c>
      <c r="B5" s="18" t="s">
        <v>124</v>
      </c>
      <c r="C5" s="32"/>
      <c r="D5" s="32"/>
      <c r="E5" s="33"/>
      <c r="F5" s="33">
        <f t="shared" si="0"/>
        <v>0</v>
      </c>
    </row>
    <row r="6" spans="1:6" x14ac:dyDescent="0.25">
      <c r="A6" s="32">
        <v>4</v>
      </c>
      <c r="B6" s="18" t="s">
        <v>263</v>
      </c>
      <c r="C6" s="32"/>
      <c r="D6" s="32"/>
      <c r="E6" s="33"/>
      <c r="F6" s="33">
        <f t="shared" si="0"/>
        <v>0</v>
      </c>
    </row>
    <row r="7" spans="1:6" x14ac:dyDescent="0.25">
      <c r="A7" s="32">
        <v>5</v>
      </c>
      <c r="B7" s="18" t="s">
        <v>125</v>
      </c>
      <c r="C7" s="32">
        <v>1</v>
      </c>
      <c r="D7" s="32">
        <v>1</v>
      </c>
      <c r="E7" s="33">
        <v>150000</v>
      </c>
      <c r="F7" s="33">
        <f t="shared" si="0"/>
        <v>150000</v>
      </c>
    </row>
    <row r="8" spans="1:6" x14ac:dyDescent="0.25">
      <c r="A8" s="32">
        <v>6</v>
      </c>
      <c r="B8" s="18" t="s">
        <v>214</v>
      </c>
      <c r="C8" s="32"/>
      <c r="D8" s="32"/>
      <c r="E8" s="33"/>
      <c r="F8" s="33">
        <f t="shared" si="0"/>
        <v>0</v>
      </c>
    </row>
    <row r="9" spans="1:6" x14ac:dyDescent="0.25">
      <c r="A9" s="32">
        <v>7</v>
      </c>
      <c r="B9" s="18" t="s">
        <v>126</v>
      </c>
      <c r="C9" s="32">
        <v>1</v>
      </c>
      <c r="D9" s="32">
        <v>2</v>
      </c>
      <c r="E9" s="33">
        <v>100000</v>
      </c>
      <c r="F9" s="33">
        <f t="shared" si="0"/>
        <v>200000</v>
      </c>
    </row>
    <row r="10" spans="1:6" x14ac:dyDescent="0.25">
      <c r="A10" s="32">
        <v>8</v>
      </c>
      <c r="B10" s="18" t="s">
        <v>215</v>
      </c>
      <c r="C10" s="32">
        <v>1</v>
      </c>
      <c r="D10" s="32">
        <v>1</v>
      </c>
      <c r="E10" s="33"/>
      <c r="F10" s="33">
        <f t="shared" si="0"/>
        <v>0</v>
      </c>
    </row>
    <row r="11" spans="1:6" x14ac:dyDescent="0.25">
      <c r="A11" s="32">
        <v>9</v>
      </c>
      <c r="B11" s="18" t="s">
        <v>216</v>
      </c>
      <c r="C11" s="32">
        <v>1</v>
      </c>
      <c r="D11" s="32">
        <v>1</v>
      </c>
      <c r="E11" s="33">
        <v>100000</v>
      </c>
      <c r="F11" s="33">
        <f t="shared" si="0"/>
        <v>100000</v>
      </c>
    </row>
    <row r="12" spans="1:6" x14ac:dyDescent="0.25">
      <c r="A12" s="32">
        <v>10</v>
      </c>
      <c r="B12" s="18" t="s">
        <v>217</v>
      </c>
      <c r="C12" s="32"/>
      <c r="D12" s="32"/>
      <c r="E12" s="33"/>
      <c r="F12" s="33">
        <f t="shared" si="0"/>
        <v>0</v>
      </c>
    </row>
    <row r="13" spans="1:6" x14ac:dyDescent="0.25">
      <c r="A13" s="32">
        <v>11</v>
      </c>
      <c r="B13" s="18" t="s">
        <v>127</v>
      </c>
      <c r="C13" s="32"/>
      <c r="D13" s="32"/>
      <c r="E13" s="33">
        <v>50000</v>
      </c>
      <c r="F13" s="33">
        <f t="shared" si="0"/>
        <v>0</v>
      </c>
    </row>
    <row r="14" spans="1:6" x14ac:dyDescent="0.25">
      <c r="A14" s="32">
        <v>12</v>
      </c>
      <c r="B14" s="18" t="s">
        <v>218</v>
      </c>
      <c r="C14" s="32"/>
      <c r="D14" s="32"/>
      <c r="E14" s="33">
        <v>50000</v>
      </c>
      <c r="F14" s="33">
        <f t="shared" si="0"/>
        <v>0</v>
      </c>
    </row>
    <row r="15" spans="1:6" x14ac:dyDescent="0.25">
      <c r="A15" s="32">
        <v>13</v>
      </c>
      <c r="B15" s="18" t="s">
        <v>219</v>
      </c>
      <c r="C15" s="32"/>
      <c r="D15" s="32"/>
      <c r="E15" s="33"/>
      <c r="F15" s="33">
        <f t="shared" si="0"/>
        <v>0</v>
      </c>
    </row>
    <row r="16" spans="1:6" x14ac:dyDescent="0.25">
      <c r="A16" s="32">
        <v>14</v>
      </c>
      <c r="B16" s="18" t="s">
        <v>220</v>
      </c>
      <c r="C16" s="32"/>
      <c r="D16" s="32"/>
      <c r="E16" s="33">
        <v>50000</v>
      </c>
      <c r="F16" s="33">
        <f t="shared" si="0"/>
        <v>0</v>
      </c>
    </row>
    <row r="17" spans="1:6" x14ac:dyDescent="0.25">
      <c r="A17" s="32">
        <v>15</v>
      </c>
      <c r="B17" s="18" t="s">
        <v>221</v>
      </c>
      <c r="C17" s="32">
        <v>1</v>
      </c>
      <c r="D17" s="32">
        <v>1</v>
      </c>
      <c r="E17" s="33">
        <v>50000</v>
      </c>
      <c r="F17" s="33">
        <f t="shared" si="0"/>
        <v>50000</v>
      </c>
    </row>
    <row r="18" spans="1:6" x14ac:dyDescent="0.25">
      <c r="A18" s="32">
        <v>16</v>
      </c>
      <c r="B18" s="18" t="s">
        <v>264</v>
      </c>
      <c r="C18" s="32"/>
      <c r="D18" s="32"/>
      <c r="E18" s="33"/>
      <c r="F18" s="33">
        <f t="shared" si="0"/>
        <v>0</v>
      </c>
    </row>
    <row r="19" spans="1:6" x14ac:dyDescent="0.25">
      <c r="A19" s="32">
        <v>17</v>
      </c>
      <c r="B19" s="18" t="s">
        <v>222</v>
      </c>
      <c r="C19" s="32">
        <v>1</v>
      </c>
      <c r="D19" s="32">
        <v>2</v>
      </c>
      <c r="E19" s="33">
        <v>60000</v>
      </c>
      <c r="F19" s="33">
        <f t="shared" si="0"/>
        <v>120000</v>
      </c>
    </row>
    <row r="20" spans="1:6" ht="14.45" customHeight="1" x14ac:dyDescent="0.25">
      <c r="A20" s="32">
        <v>18</v>
      </c>
      <c r="B20" s="18" t="s">
        <v>223</v>
      </c>
      <c r="C20" s="32">
        <v>2</v>
      </c>
      <c r="D20" s="32">
        <v>6</v>
      </c>
      <c r="E20" s="33">
        <v>60000</v>
      </c>
      <c r="F20" s="33">
        <f t="shared" si="0"/>
        <v>360000</v>
      </c>
    </row>
    <row r="21" spans="1:6" x14ac:dyDescent="0.25">
      <c r="A21" s="32">
        <v>19</v>
      </c>
      <c r="B21" s="18" t="s">
        <v>224</v>
      </c>
      <c r="C21" s="32">
        <v>2</v>
      </c>
      <c r="D21" s="32">
        <v>6</v>
      </c>
      <c r="E21" s="33">
        <v>60000</v>
      </c>
      <c r="F21" s="33">
        <f t="shared" si="0"/>
        <v>360000</v>
      </c>
    </row>
    <row r="22" spans="1:6" x14ac:dyDescent="0.25">
      <c r="A22" s="32">
        <v>20</v>
      </c>
      <c r="B22" s="18" t="s">
        <v>225</v>
      </c>
      <c r="C22" s="32">
        <v>1</v>
      </c>
      <c r="D22" s="32">
        <v>1</v>
      </c>
      <c r="E22" s="33">
        <v>40000</v>
      </c>
      <c r="F22" s="33">
        <f t="shared" si="0"/>
        <v>40000</v>
      </c>
    </row>
    <row r="23" spans="1:6" x14ac:dyDescent="0.25">
      <c r="A23" s="32">
        <v>21</v>
      </c>
      <c r="B23" s="18" t="s">
        <v>226</v>
      </c>
      <c r="C23" s="32">
        <v>1</v>
      </c>
      <c r="D23" s="32">
        <v>1</v>
      </c>
      <c r="E23" s="33">
        <v>40000</v>
      </c>
      <c r="F23" s="33">
        <f t="shared" si="0"/>
        <v>40000</v>
      </c>
    </row>
    <row r="24" spans="1:6" x14ac:dyDescent="0.25">
      <c r="A24" s="32">
        <v>22</v>
      </c>
      <c r="B24" s="18" t="s">
        <v>227</v>
      </c>
      <c r="C24" s="32"/>
      <c r="D24" s="32"/>
      <c r="E24" s="33"/>
      <c r="F24" s="33">
        <f t="shared" si="0"/>
        <v>0</v>
      </c>
    </row>
    <row r="25" spans="1:6" x14ac:dyDescent="0.25">
      <c r="A25" s="32">
        <v>23</v>
      </c>
      <c r="B25" s="18" t="s">
        <v>228</v>
      </c>
      <c r="C25" s="32"/>
      <c r="D25" s="32"/>
      <c r="E25" s="33"/>
      <c r="F25" s="33">
        <f t="shared" si="0"/>
        <v>0</v>
      </c>
    </row>
    <row r="26" spans="1:6" x14ac:dyDescent="0.25">
      <c r="A26" s="32">
        <v>24</v>
      </c>
      <c r="B26" s="18" t="s">
        <v>229</v>
      </c>
      <c r="C26" s="32"/>
      <c r="D26" s="32"/>
      <c r="E26" s="33"/>
      <c r="F26" s="33">
        <f t="shared" si="0"/>
        <v>0</v>
      </c>
    </row>
    <row r="27" spans="1:6" x14ac:dyDescent="0.25">
      <c r="A27" s="32">
        <v>25</v>
      </c>
      <c r="B27" s="18" t="s">
        <v>230</v>
      </c>
      <c r="C27" s="32"/>
      <c r="D27" s="32"/>
      <c r="E27" s="33"/>
      <c r="F27" s="33">
        <f t="shared" si="0"/>
        <v>0</v>
      </c>
    </row>
    <row r="28" spans="1:6" x14ac:dyDescent="0.25">
      <c r="A28" s="32">
        <v>26</v>
      </c>
      <c r="B28" s="18" t="s">
        <v>128</v>
      </c>
      <c r="C28" s="32">
        <v>1</v>
      </c>
      <c r="D28" s="32">
        <v>2</v>
      </c>
      <c r="E28" s="33">
        <v>60000</v>
      </c>
      <c r="F28" s="33">
        <f t="shared" si="0"/>
        <v>120000</v>
      </c>
    </row>
    <row r="29" spans="1:6" x14ac:dyDescent="0.25">
      <c r="A29" s="32">
        <v>27</v>
      </c>
      <c r="B29" s="18" t="s">
        <v>129</v>
      </c>
      <c r="C29" s="32">
        <v>1</v>
      </c>
      <c r="D29" s="32">
        <v>2</v>
      </c>
      <c r="E29" s="33">
        <v>60000</v>
      </c>
      <c r="F29" s="33">
        <f t="shared" si="0"/>
        <v>120000</v>
      </c>
    </row>
    <row r="30" spans="1:6" x14ac:dyDescent="0.25">
      <c r="A30" s="32">
        <v>28</v>
      </c>
      <c r="B30" s="18" t="s">
        <v>130</v>
      </c>
      <c r="C30" s="32">
        <v>1</v>
      </c>
      <c r="D30" s="32">
        <v>2</v>
      </c>
      <c r="E30" s="33">
        <v>60000</v>
      </c>
      <c r="F30" s="33">
        <f t="shared" si="0"/>
        <v>120000</v>
      </c>
    </row>
    <row r="31" spans="1:6" x14ac:dyDescent="0.25">
      <c r="A31" s="32">
        <v>29</v>
      </c>
      <c r="B31" s="18" t="s">
        <v>131</v>
      </c>
      <c r="C31" s="32"/>
      <c r="D31" s="32"/>
      <c r="E31" s="33"/>
      <c r="F31" s="33">
        <f t="shared" si="0"/>
        <v>0</v>
      </c>
    </row>
    <row r="32" spans="1:6" x14ac:dyDescent="0.25">
      <c r="A32" s="32">
        <v>30</v>
      </c>
      <c r="B32" s="18" t="s">
        <v>231</v>
      </c>
      <c r="C32" s="32">
        <v>1</v>
      </c>
      <c r="D32" s="32">
        <v>3</v>
      </c>
      <c r="E32" s="33">
        <v>40000</v>
      </c>
      <c r="F32" s="33">
        <f t="shared" si="0"/>
        <v>120000</v>
      </c>
    </row>
    <row r="33" spans="1:6" x14ac:dyDescent="0.25">
      <c r="A33" s="32">
        <v>31</v>
      </c>
      <c r="B33" s="18" t="s">
        <v>232</v>
      </c>
      <c r="C33" s="32"/>
      <c r="D33" s="32"/>
      <c r="E33" s="33">
        <v>40000</v>
      </c>
      <c r="F33" s="33">
        <f t="shared" si="0"/>
        <v>0</v>
      </c>
    </row>
    <row r="34" spans="1:6" x14ac:dyDescent="0.25">
      <c r="A34" s="32">
        <v>32</v>
      </c>
      <c r="B34" s="18" t="s">
        <v>233</v>
      </c>
      <c r="C34" s="32"/>
      <c r="D34" s="32"/>
      <c r="E34" s="33">
        <v>35000</v>
      </c>
      <c r="F34" s="33">
        <f t="shared" si="0"/>
        <v>0</v>
      </c>
    </row>
    <row r="35" spans="1:6" x14ac:dyDescent="0.25">
      <c r="A35" s="32">
        <v>33</v>
      </c>
      <c r="B35" s="18" t="s">
        <v>132</v>
      </c>
      <c r="C35" s="32">
        <v>2</v>
      </c>
      <c r="D35" s="32">
        <v>6</v>
      </c>
      <c r="E35" s="33">
        <v>35000</v>
      </c>
      <c r="F35" s="33">
        <f t="shared" si="0"/>
        <v>210000</v>
      </c>
    </row>
    <row r="36" spans="1:6" x14ac:dyDescent="0.25">
      <c r="A36" s="32">
        <v>34</v>
      </c>
      <c r="B36" s="18" t="s">
        <v>234</v>
      </c>
      <c r="C36" s="32"/>
      <c r="D36" s="32"/>
      <c r="E36" s="33"/>
      <c r="F36" s="33">
        <f t="shared" si="0"/>
        <v>0</v>
      </c>
    </row>
    <row r="37" spans="1:6" x14ac:dyDescent="0.25">
      <c r="A37" s="32">
        <v>35</v>
      </c>
      <c r="B37" s="18" t="s">
        <v>235</v>
      </c>
      <c r="C37" s="32"/>
      <c r="D37" s="32"/>
      <c r="E37" s="33"/>
      <c r="F37" s="33">
        <f t="shared" si="0"/>
        <v>0</v>
      </c>
    </row>
    <row r="38" spans="1:6" x14ac:dyDescent="0.25">
      <c r="A38" s="32">
        <v>36</v>
      </c>
      <c r="B38" s="18" t="s">
        <v>236</v>
      </c>
      <c r="C38" s="32"/>
      <c r="D38" s="32"/>
      <c r="E38" s="33"/>
      <c r="F38" s="33">
        <f t="shared" si="0"/>
        <v>0</v>
      </c>
    </row>
    <row r="39" spans="1:6" x14ac:dyDescent="0.25">
      <c r="A39" s="32">
        <v>37</v>
      </c>
      <c r="B39" s="18" t="s">
        <v>237</v>
      </c>
      <c r="C39" s="32"/>
      <c r="D39" s="32"/>
      <c r="E39" s="33"/>
      <c r="F39" s="33">
        <f t="shared" si="0"/>
        <v>0</v>
      </c>
    </row>
    <row r="40" spans="1:6" x14ac:dyDescent="0.25">
      <c r="A40" s="32">
        <v>38</v>
      </c>
      <c r="B40" s="18" t="s">
        <v>238</v>
      </c>
      <c r="C40" s="32"/>
      <c r="D40" s="32"/>
      <c r="E40" s="33"/>
      <c r="F40" s="33">
        <f t="shared" si="0"/>
        <v>0</v>
      </c>
    </row>
    <row r="41" spans="1:6" x14ac:dyDescent="0.25">
      <c r="A41" s="32">
        <v>39</v>
      </c>
      <c r="B41" s="18" t="s">
        <v>239</v>
      </c>
      <c r="C41" s="32"/>
      <c r="D41" s="32"/>
      <c r="E41" s="33"/>
      <c r="F41" s="33">
        <f t="shared" si="0"/>
        <v>0</v>
      </c>
    </row>
    <row r="42" spans="1:6" x14ac:dyDescent="0.25">
      <c r="A42" s="32">
        <v>40</v>
      </c>
      <c r="B42" s="18" t="s">
        <v>240</v>
      </c>
      <c r="C42" s="32"/>
      <c r="D42" s="32"/>
      <c r="E42" s="33"/>
      <c r="F42" s="33">
        <f t="shared" si="0"/>
        <v>0</v>
      </c>
    </row>
    <row r="43" spans="1:6" x14ac:dyDescent="0.25">
      <c r="A43" s="32">
        <v>41</v>
      </c>
      <c r="B43" s="18" t="s">
        <v>241</v>
      </c>
      <c r="C43" s="32"/>
      <c r="D43" s="32"/>
      <c r="E43" s="33"/>
      <c r="F43" s="33">
        <f t="shared" si="0"/>
        <v>0</v>
      </c>
    </row>
    <row r="44" spans="1:6" x14ac:dyDescent="0.25">
      <c r="A44" s="32">
        <v>42</v>
      </c>
      <c r="B44" s="18" t="s">
        <v>242</v>
      </c>
      <c r="C44" s="32"/>
      <c r="D44" s="32"/>
      <c r="E44" s="33"/>
      <c r="F44" s="33">
        <f t="shared" si="0"/>
        <v>0</v>
      </c>
    </row>
    <row r="45" spans="1:6" x14ac:dyDescent="0.25">
      <c r="A45" s="32"/>
      <c r="B45" s="18"/>
      <c r="C45" s="32"/>
      <c r="D45" s="32"/>
      <c r="E45" s="33"/>
      <c r="F45" s="33"/>
    </row>
    <row r="46" spans="1:6" x14ac:dyDescent="0.25">
      <c r="A46" s="46"/>
      <c r="B46" s="48" t="s">
        <v>133</v>
      </c>
      <c r="C46" s="46"/>
      <c r="D46" s="46">
        <f>SUM(D3:D45)</f>
        <v>39</v>
      </c>
      <c r="E46" s="49"/>
      <c r="F46" s="50">
        <f>SUM(F3:F45)</f>
        <v>2460000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7"/>
  <sheetViews>
    <sheetView showGridLines="0" tabSelected="1" workbookViewId="0"/>
  </sheetViews>
  <sheetFormatPr defaultRowHeight="15" x14ac:dyDescent="0.25"/>
  <cols>
    <col min="1" max="1" width="3" bestFit="1" customWidth="1"/>
    <col min="2" max="2" width="38.85546875" customWidth="1"/>
    <col min="3" max="3" width="9.140625" customWidth="1"/>
    <col min="4" max="4" width="10" customWidth="1"/>
    <col min="5" max="5" width="14.85546875" customWidth="1"/>
    <col min="6" max="6" width="10.85546875" customWidth="1"/>
    <col min="7" max="8" width="11" customWidth="1"/>
    <col min="9" max="9" width="12.42578125" bestFit="1" customWidth="1"/>
    <col min="10" max="10" width="13.42578125" bestFit="1" customWidth="1"/>
  </cols>
  <sheetData>
    <row r="1" spans="1:10" x14ac:dyDescent="0.25">
      <c r="B1" t="s">
        <v>272</v>
      </c>
    </row>
    <row r="2" spans="1:10" ht="30" x14ac:dyDescent="0.25">
      <c r="A2" s="36" t="s">
        <v>0</v>
      </c>
      <c r="B2" s="36" t="s">
        <v>1</v>
      </c>
      <c r="C2" s="82" t="s">
        <v>90</v>
      </c>
      <c r="D2" s="36" t="s">
        <v>93</v>
      </c>
      <c r="E2" s="36" t="s">
        <v>94</v>
      </c>
      <c r="F2" s="36" t="s">
        <v>108</v>
      </c>
      <c r="G2" s="36" t="s">
        <v>91</v>
      </c>
      <c r="H2" s="36" t="s">
        <v>95</v>
      </c>
      <c r="I2" s="36" t="s">
        <v>96</v>
      </c>
      <c r="J2" s="36" t="s">
        <v>97</v>
      </c>
    </row>
    <row r="3" spans="1:10" x14ac:dyDescent="0.25">
      <c r="A3" s="91">
        <v>1</v>
      </c>
      <c r="B3" s="92" t="s">
        <v>268</v>
      </c>
      <c r="C3" s="95" t="s">
        <v>291</v>
      </c>
      <c r="D3" s="94">
        <v>50</v>
      </c>
      <c r="E3" s="94">
        <f>D3*28</f>
        <v>1400</v>
      </c>
      <c r="F3" s="94">
        <f>D3*340</f>
        <v>17000</v>
      </c>
      <c r="G3" s="90">
        <v>0</v>
      </c>
      <c r="H3" s="90">
        <f>G3*D3</f>
        <v>0</v>
      </c>
      <c r="I3" s="90">
        <f>G3*E3</f>
        <v>0</v>
      </c>
      <c r="J3" s="90">
        <f>G3*F3</f>
        <v>0</v>
      </c>
    </row>
    <row r="4" spans="1:10" x14ac:dyDescent="0.25">
      <c r="A4" s="91">
        <v>2</v>
      </c>
      <c r="B4" s="92" t="s">
        <v>305</v>
      </c>
      <c r="C4" s="95"/>
      <c r="D4" s="94"/>
      <c r="E4" s="94"/>
      <c r="F4" s="94"/>
      <c r="G4" s="90"/>
      <c r="H4" s="90"/>
      <c r="I4" s="90"/>
      <c r="J4" s="90"/>
    </row>
    <row r="5" spans="1:10" x14ac:dyDescent="0.25">
      <c r="A5" s="80" t="s">
        <v>299</v>
      </c>
      <c r="B5" s="81" t="s">
        <v>298</v>
      </c>
      <c r="C5" s="96" t="s">
        <v>290</v>
      </c>
      <c r="D5" s="87">
        <v>20</v>
      </c>
      <c r="E5" s="87">
        <f>D5*28</f>
        <v>560</v>
      </c>
      <c r="F5" s="87">
        <f>D5*340</f>
        <v>6800</v>
      </c>
      <c r="G5" s="86">
        <v>19000</v>
      </c>
      <c r="H5" s="86">
        <f t="shared" ref="H5:H15" si="0">G5*D5</f>
        <v>380000</v>
      </c>
      <c r="I5" s="86">
        <f t="shared" ref="I5:I15" si="1">G5*E5</f>
        <v>10640000</v>
      </c>
      <c r="J5" s="86">
        <f t="shared" ref="J5:J15" si="2">G5*F5</f>
        <v>129200000</v>
      </c>
    </row>
    <row r="6" spans="1:10" x14ac:dyDescent="0.25">
      <c r="A6" s="80" t="s">
        <v>300</v>
      </c>
      <c r="B6" s="81" t="s">
        <v>92</v>
      </c>
      <c r="C6" s="96">
        <v>25</v>
      </c>
      <c r="D6" s="87">
        <v>12.5</v>
      </c>
      <c r="E6" s="87">
        <f t="shared" ref="E6:E15" si="3">D6*28</f>
        <v>350</v>
      </c>
      <c r="F6" s="87">
        <f t="shared" ref="F6:F7" si="4">D6*340</f>
        <v>4250</v>
      </c>
      <c r="G6" s="86">
        <v>4000</v>
      </c>
      <c r="H6" s="86">
        <f t="shared" si="0"/>
        <v>50000</v>
      </c>
      <c r="I6" s="86">
        <f t="shared" si="1"/>
        <v>1400000</v>
      </c>
      <c r="J6" s="86">
        <f t="shared" si="2"/>
        <v>17000000</v>
      </c>
    </row>
    <row r="7" spans="1:10" x14ac:dyDescent="0.25">
      <c r="A7" s="80" t="s">
        <v>301</v>
      </c>
      <c r="B7" s="81" t="s">
        <v>98</v>
      </c>
      <c r="C7" s="96" t="s">
        <v>106</v>
      </c>
      <c r="D7" s="87">
        <v>3</v>
      </c>
      <c r="E7" s="87">
        <f t="shared" si="3"/>
        <v>84</v>
      </c>
      <c r="F7" s="87">
        <f t="shared" si="4"/>
        <v>1020</v>
      </c>
      <c r="G7" s="87">
        <v>0</v>
      </c>
      <c r="H7" s="87">
        <f t="shared" si="0"/>
        <v>0</v>
      </c>
      <c r="I7" s="87">
        <f t="shared" si="1"/>
        <v>0</v>
      </c>
      <c r="J7" s="87">
        <f t="shared" si="2"/>
        <v>0</v>
      </c>
    </row>
    <row r="8" spans="1:10" x14ac:dyDescent="0.25">
      <c r="A8" s="80" t="s">
        <v>302</v>
      </c>
      <c r="B8" s="81" t="s">
        <v>99</v>
      </c>
      <c r="C8" s="96" t="s">
        <v>292</v>
      </c>
      <c r="D8" s="87">
        <v>7.5</v>
      </c>
      <c r="E8" s="87">
        <f t="shared" si="3"/>
        <v>210</v>
      </c>
      <c r="F8" s="87">
        <f t="shared" ref="F8:F10" si="5">D8*340</f>
        <v>2550</v>
      </c>
      <c r="G8" s="86">
        <v>4000</v>
      </c>
      <c r="H8" s="86">
        <f t="shared" si="0"/>
        <v>30000</v>
      </c>
      <c r="I8" s="86">
        <f t="shared" si="1"/>
        <v>840000</v>
      </c>
      <c r="J8" s="86">
        <f t="shared" si="2"/>
        <v>10200000</v>
      </c>
    </row>
    <row r="9" spans="1:10" x14ac:dyDescent="0.25">
      <c r="A9" s="78" t="s">
        <v>303</v>
      </c>
      <c r="B9" s="79" t="s">
        <v>107</v>
      </c>
      <c r="C9" s="83"/>
      <c r="D9" s="85">
        <v>9</v>
      </c>
      <c r="E9" s="85">
        <v>252</v>
      </c>
      <c r="F9" s="85">
        <f t="shared" si="5"/>
        <v>3060</v>
      </c>
      <c r="G9" s="85">
        <v>0</v>
      </c>
      <c r="H9" s="85">
        <f t="shared" si="0"/>
        <v>0</v>
      </c>
      <c r="I9" s="85">
        <v>0</v>
      </c>
      <c r="J9" s="85">
        <f t="shared" si="2"/>
        <v>0</v>
      </c>
    </row>
    <row r="10" spans="1:10" x14ac:dyDescent="0.25">
      <c r="A10" s="78" t="s">
        <v>304</v>
      </c>
      <c r="B10" s="79" t="s">
        <v>115</v>
      </c>
      <c r="C10" s="84" t="s">
        <v>117</v>
      </c>
      <c r="D10" s="85">
        <v>15</v>
      </c>
      <c r="E10" s="85">
        <f t="shared" ref="E10" si="6">D10*28</f>
        <v>420</v>
      </c>
      <c r="F10" s="85">
        <f t="shared" si="5"/>
        <v>5100</v>
      </c>
      <c r="G10" s="85">
        <v>0</v>
      </c>
      <c r="H10" s="85">
        <f t="shared" si="0"/>
        <v>0</v>
      </c>
      <c r="I10" s="85">
        <f t="shared" ref="I10" si="7">G10*E10</f>
        <v>0</v>
      </c>
      <c r="J10" s="85">
        <f t="shared" si="2"/>
        <v>0</v>
      </c>
    </row>
    <row r="11" spans="1:10" x14ac:dyDescent="0.25">
      <c r="A11" s="80">
        <v>3</v>
      </c>
      <c r="B11" s="93" t="s">
        <v>306</v>
      </c>
      <c r="C11" s="96"/>
      <c r="D11" s="87"/>
      <c r="E11" s="87"/>
      <c r="F11" s="87"/>
      <c r="G11" s="86"/>
      <c r="H11" s="86"/>
      <c r="I11" s="86"/>
      <c r="J11" s="86"/>
    </row>
    <row r="12" spans="1:10" x14ac:dyDescent="0.25">
      <c r="A12" s="76" t="s">
        <v>299</v>
      </c>
      <c r="B12" s="77" t="s">
        <v>100</v>
      </c>
      <c r="C12" s="97" t="s">
        <v>103</v>
      </c>
      <c r="D12" s="88">
        <v>7</v>
      </c>
      <c r="E12" s="88">
        <f t="shared" si="3"/>
        <v>196</v>
      </c>
      <c r="F12" s="88">
        <f t="shared" ref="F12:F15" si="8">D12*340</f>
        <v>2380</v>
      </c>
      <c r="G12" s="88">
        <v>0</v>
      </c>
      <c r="H12" s="88">
        <f t="shared" si="0"/>
        <v>0</v>
      </c>
      <c r="I12" s="88">
        <f t="shared" si="1"/>
        <v>0</v>
      </c>
      <c r="J12" s="88">
        <f t="shared" si="2"/>
        <v>0</v>
      </c>
    </row>
    <row r="13" spans="1:10" x14ac:dyDescent="0.25">
      <c r="A13" s="76" t="s">
        <v>300</v>
      </c>
      <c r="B13" s="77" t="s">
        <v>265</v>
      </c>
      <c r="C13" s="97" t="s">
        <v>104</v>
      </c>
      <c r="D13" s="88">
        <v>13</v>
      </c>
      <c r="E13" s="88">
        <f t="shared" si="3"/>
        <v>364</v>
      </c>
      <c r="F13" s="88">
        <f t="shared" si="8"/>
        <v>4420</v>
      </c>
      <c r="G13" s="88">
        <v>0</v>
      </c>
      <c r="H13" s="88">
        <f t="shared" si="0"/>
        <v>0</v>
      </c>
      <c r="I13" s="88">
        <f t="shared" si="1"/>
        <v>0</v>
      </c>
      <c r="J13" s="88">
        <f t="shared" si="2"/>
        <v>0</v>
      </c>
    </row>
    <row r="14" spans="1:10" x14ac:dyDescent="0.25">
      <c r="A14" s="76" t="s">
        <v>301</v>
      </c>
      <c r="B14" s="77" t="s">
        <v>101</v>
      </c>
      <c r="C14" s="97" t="s">
        <v>105</v>
      </c>
      <c r="D14" s="88">
        <v>3</v>
      </c>
      <c r="E14" s="88">
        <f t="shared" si="3"/>
        <v>84</v>
      </c>
      <c r="F14" s="88">
        <f t="shared" si="8"/>
        <v>1020</v>
      </c>
      <c r="G14" s="88">
        <v>0</v>
      </c>
      <c r="H14" s="88">
        <f t="shared" si="0"/>
        <v>0</v>
      </c>
      <c r="I14" s="88">
        <f t="shared" si="1"/>
        <v>0</v>
      </c>
      <c r="J14" s="88">
        <f t="shared" si="2"/>
        <v>0</v>
      </c>
    </row>
    <row r="15" spans="1:10" x14ac:dyDescent="0.25">
      <c r="A15" s="76" t="s">
        <v>302</v>
      </c>
      <c r="B15" s="77" t="s">
        <v>102</v>
      </c>
      <c r="C15" s="97" t="s">
        <v>109</v>
      </c>
      <c r="D15" s="88">
        <v>1</v>
      </c>
      <c r="E15" s="88">
        <f t="shared" si="3"/>
        <v>28</v>
      </c>
      <c r="F15" s="88">
        <f t="shared" si="8"/>
        <v>340</v>
      </c>
      <c r="G15" s="88">
        <v>0</v>
      </c>
      <c r="H15" s="88">
        <f t="shared" si="0"/>
        <v>0</v>
      </c>
      <c r="I15" s="88">
        <f t="shared" si="1"/>
        <v>0</v>
      </c>
      <c r="J15" s="88">
        <f t="shared" si="2"/>
        <v>0</v>
      </c>
    </row>
    <row r="16" spans="1:10" x14ac:dyDescent="0.25">
      <c r="A16" s="32"/>
      <c r="B16" s="29" t="s">
        <v>113</v>
      </c>
      <c r="C16" s="21"/>
      <c r="D16" s="19"/>
      <c r="E16" s="19">
        <f t="shared" ref="E16" si="9">D16*28</f>
        <v>0</v>
      </c>
      <c r="F16" s="19">
        <f t="shared" ref="F16" si="10">D16*340</f>
        <v>0</v>
      </c>
      <c r="G16" s="19"/>
      <c r="H16" s="89">
        <f>SUM(H3:H15)</f>
        <v>460000</v>
      </c>
      <c r="I16" s="89">
        <f>SUM(I3:I15)</f>
        <v>12880000</v>
      </c>
      <c r="J16" s="89">
        <f>SUM(J3:J15)</f>
        <v>156400000</v>
      </c>
    </row>
    <row r="17" spans="3:10" x14ac:dyDescent="0.25">
      <c r="C17" s="20"/>
      <c r="D17" s="20"/>
      <c r="E17" s="20"/>
      <c r="F17" s="20"/>
      <c r="G17" s="20"/>
      <c r="H17" s="20"/>
      <c r="I17" s="20"/>
      <c r="J17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CAPEX</vt:lpstr>
      <vt:lpstr>OPEX</vt:lpstr>
      <vt:lpstr>Оборудование</vt:lpstr>
      <vt:lpstr>Штатное расписание</vt:lpstr>
      <vt:lpstr>Продукция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502</dc:creator>
  <cp:lastModifiedBy>Alan Sakson</cp:lastModifiedBy>
  <dcterms:created xsi:type="dcterms:W3CDTF">2017-12-04T10:15:01Z</dcterms:created>
  <dcterms:modified xsi:type="dcterms:W3CDTF">2024-01-31T02:07:14Z</dcterms:modified>
</cp:coreProperties>
</file>